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4625" yWindow="0" windowWidth="15360" windowHeight="12480" tabRatio="958" activeTab="0"/>
  </bookViews>
  <sheets>
    <sheet name="Áreas da limpeza" sheetId="1" r:id="rId1"/>
    <sheet name="MOB Vinc" sheetId="2" r:id="rId2"/>
    <sheet name="Mod 1" sheetId="3" r:id="rId3"/>
    <sheet name="Mod 2" sheetId="4" r:id="rId4"/>
    <sheet name="Mod 3" sheetId="5" r:id="rId5"/>
    <sheet name="SMod 4.1" sheetId="6" r:id="rId6"/>
    <sheet name="SMod 4.2" sheetId="7" r:id="rId7"/>
    <sheet name="SMod 4.3" sheetId="8" r:id="rId8"/>
    <sheet name="SMod 4.4" sheetId="9" r:id="rId9"/>
    <sheet name="SMod 4.5" sheetId="10" r:id="rId10"/>
    <sheet name="Mod 4" sheetId="11" r:id="rId11"/>
    <sheet name="CO e Lucro" sheetId="12" r:id="rId12"/>
    <sheet name="Tributos" sheetId="13" r:id="rId13"/>
    <sheet name="Mod 5" sheetId="14" r:id="rId14"/>
    <sheet name="Custo por empregado" sheetId="15" r:id="rId15"/>
    <sheet name="PMU LR - LP" sheetId="16" r:id="rId16"/>
    <sheet name="PMU SN" sheetId="17" r:id="rId17"/>
    <sheet name="Total por postos" sheetId="18" r:id="rId18"/>
    <sheet name="Vlr por área" sheetId="19" r:id="rId19"/>
    <sheet name="Equipamentos" sheetId="20" r:id="rId20"/>
  </sheets>
  <definedNames/>
  <calcPr fullCalcOnLoad="1"/>
</workbook>
</file>

<file path=xl/comments10.xml><?xml version="1.0" encoding="utf-8"?>
<comments xmlns="http://schemas.openxmlformats.org/spreadsheetml/2006/main">
  <authors>
    <author>sg406</author>
  </authors>
  <commentList>
    <comment ref="D10" authorId="0">
      <text>
        <r>
          <rPr>
            <sz val="8"/>
            <color indexed="10"/>
            <rFont val="Tahoma"/>
            <family val="2"/>
          </rPr>
          <t>100% - Efetivo feminino (Smod 4.3)</t>
        </r>
      </text>
    </comment>
    <comment ref="D34" authorId="0">
      <text>
        <r>
          <rPr>
            <sz val="8"/>
            <color indexed="10"/>
            <rFont val="Tahoma"/>
            <family val="2"/>
          </rPr>
          <t>100% - Efetivo feminino (Smod 4.3)</t>
        </r>
      </text>
    </comment>
  </commentList>
</comments>
</file>

<file path=xl/comments9.xml><?xml version="1.0" encoding="utf-8"?>
<comments xmlns="http://schemas.openxmlformats.org/spreadsheetml/2006/main">
  <authors>
    <author>M?rcio A Amite</author>
  </authors>
  <commentList>
    <comment ref="D12" authorId="0">
      <text>
        <r>
          <rPr>
            <sz val="8"/>
            <rFont val="Tahoma"/>
            <family val="0"/>
          </rPr>
          <t xml:space="preserve">(100 - D6) Todos serão demitidos ao final do contrato
</t>
        </r>
      </text>
    </comment>
    <comment ref="D31" authorId="0">
      <text>
        <r>
          <rPr>
            <sz val="8"/>
            <rFont val="Tahoma"/>
            <family val="2"/>
          </rPr>
          <t xml:space="preserve">(100 - D25) Todos serão demitidos ao final do contrato
</t>
        </r>
      </text>
    </comment>
  </commentList>
</comments>
</file>

<file path=xl/sharedStrings.xml><?xml version="1.0" encoding="utf-8"?>
<sst xmlns="http://schemas.openxmlformats.org/spreadsheetml/2006/main" count="850" uniqueCount="275">
  <si>
    <t>Dados complementares  para a composição dos custos de mão-de-obra</t>
  </si>
  <si>
    <t>Tipo de Serviço</t>
  </si>
  <si>
    <t>Salário Normativo da Categoria Profissional</t>
  </si>
  <si>
    <t>Categoria Profissional</t>
  </si>
  <si>
    <t>Data Base da Categoria</t>
  </si>
  <si>
    <t>Remuneração</t>
  </si>
  <si>
    <t>I</t>
  </si>
  <si>
    <t>A</t>
  </si>
  <si>
    <t>Salário</t>
  </si>
  <si>
    <t>%</t>
  </si>
  <si>
    <t>Valor (R$)</t>
  </si>
  <si>
    <t>B</t>
  </si>
  <si>
    <t>Adicional de Periculosidade</t>
  </si>
  <si>
    <t>C</t>
  </si>
  <si>
    <t>Adicional de Insalubridade</t>
  </si>
  <si>
    <t>Total da remuneração</t>
  </si>
  <si>
    <t>Encarregado</t>
  </si>
  <si>
    <t>Total da remuneração Individual</t>
  </si>
  <si>
    <t>Total da remuneração da categoria</t>
  </si>
  <si>
    <t>Servente de limpeza</t>
  </si>
  <si>
    <t>Servente de limpeza Predial</t>
  </si>
  <si>
    <t>Dados</t>
  </si>
  <si>
    <t>Transporte</t>
  </si>
  <si>
    <t>Valor do Vale Transporte (R$):</t>
  </si>
  <si>
    <t>Nr de Vales por dia:</t>
  </si>
  <si>
    <t>Média de dias úteis no mês:</t>
  </si>
  <si>
    <t>Auxílio-alimentação</t>
  </si>
  <si>
    <t>Valor do Vale-alimentação diário (R$):</t>
  </si>
  <si>
    <t>Percentual de participação do empregado(%):</t>
  </si>
  <si>
    <t>Valor unitário do uniforme (R$):</t>
  </si>
  <si>
    <t>Percentual estatístico de perda de uniforme(%):</t>
  </si>
  <si>
    <t>D</t>
  </si>
  <si>
    <t>Assitência médica</t>
  </si>
  <si>
    <t>E</t>
  </si>
  <si>
    <t>Seguro de vida</t>
  </si>
  <si>
    <t>Custo anual do Seguro p/ empregado (R$):</t>
  </si>
  <si>
    <t>F</t>
  </si>
  <si>
    <t>G</t>
  </si>
  <si>
    <t>Auxílio-funeral</t>
  </si>
  <si>
    <t>H</t>
  </si>
  <si>
    <t>Valor do custo anual (R$):</t>
  </si>
  <si>
    <t xml:space="preserve">Total  </t>
  </si>
  <si>
    <t>Auxílio creche</t>
  </si>
  <si>
    <t>Benefícios mensais e diários</t>
  </si>
  <si>
    <t>Outros (especificar)</t>
  </si>
  <si>
    <t>Outros (Especificar)</t>
  </si>
  <si>
    <t>Insumos Diversos</t>
  </si>
  <si>
    <t>Custo dos equipamentos utilizados na prestação do serviço (R$):</t>
  </si>
  <si>
    <t>Materiais e produtos</t>
  </si>
  <si>
    <t>Taxa de Depreciação anual (%)</t>
  </si>
  <si>
    <t>Uniformes</t>
  </si>
  <si>
    <t>Custo anual (R$)</t>
  </si>
  <si>
    <t>Lucro Real e Lucro Presumido</t>
  </si>
  <si>
    <t>Simples Nacional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</si>
  <si>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</si>
  <si>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</si>
  <si>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</si>
  <si>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</si>
  <si>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</si>
  <si>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</si>
  <si>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</si>
  <si>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</si>
  <si>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Total</t>
  </si>
  <si>
    <t>Encargos previdenciários e FGTS</t>
  </si>
  <si>
    <t>Férias</t>
  </si>
  <si>
    <t>Férias sobre Licença-Maternidade do substituto</t>
  </si>
  <si>
    <t>Percentual estatístico de empregadas que se afastam por LM (%):</t>
  </si>
  <si>
    <t>Nr de meses de afastamento por LM:</t>
  </si>
  <si>
    <t>Percentual de mulheres no efetivo de trabalhadores (%):</t>
  </si>
  <si>
    <t>13º Salário</t>
  </si>
  <si>
    <t>Sub Total</t>
  </si>
  <si>
    <t>Incidência do Submódulo 4.1 sobre 13º salário e Adicional de Férias</t>
  </si>
  <si>
    <t>Quantidade de MOB a ser contratada</t>
  </si>
  <si>
    <t>Afastamento maternidade</t>
  </si>
  <si>
    <t xml:space="preserve">A </t>
  </si>
  <si>
    <t>Encargos</t>
  </si>
  <si>
    <t>Incidência do Submódulo 4.1 sobre afastamento maternidade</t>
  </si>
  <si>
    <t>Percentual de empregados demitidos no ano =&gt; s/ justa causa e com aviso prévio indenizado(%):</t>
  </si>
  <si>
    <t>Multa do FGTS do Aviso Prévio Indenizado</t>
  </si>
  <si>
    <t>40% FGTS</t>
  </si>
  <si>
    <t>10% Contribuição Social</t>
  </si>
  <si>
    <t>Aviso prévio trabalhado</t>
  </si>
  <si>
    <t>Percentual de empregados demitidos no ano =&gt; s/ justa causa e com aviso prévio trabalhado(%):</t>
  </si>
  <si>
    <t>Multa do FGTS do Aviso Prévio Trabalhado</t>
  </si>
  <si>
    <t>Incidência do Submódulo 4.1 sobre Aviso Prévio Trabalhado</t>
  </si>
  <si>
    <t>Aviso Prévio Indenizado</t>
  </si>
  <si>
    <t>Ausência por doença</t>
  </si>
  <si>
    <t>Nr de faltas no ano motivadas por doença:</t>
  </si>
  <si>
    <t>Licença paternidade</t>
  </si>
  <si>
    <t>Estatística de qtos se tornam pais por ano (%):</t>
  </si>
  <si>
    <t>Percentual de homens no efetivo de trabalhadores (%):</t>
  </si>
  <si>
    <t>Ausências legais</t>
  </si>
  <si>
    <t>Nr em média de ausência por ano:</t>
  </si>
  <si>
    <t>Ausência por acidente de trabalho</t>
  </si>
  <si>
    <t>Percentagem de trabalhadores que sofrem acidentes por ano(%):</t>
  </si>
  <si>
    <t>Ausência ininterrupta média por motivo de acidente durante o ano (Nr dias):</t>
  </si>
  <si>
    <t>Subtotal</t>
  </si>
  <si>
    <t>Incidência do Submódulo 4.1 sobre o Custo de Reposição</t>
  </si>
  <si>
    <t>Incidência de FGTS sobre período médio de afastamento superior a 15 dias, motivado por acidente do trabalho.</t>
  </si>
  <si>
    <t>Custos</t>
  </si>
  <si>
    <t>Encargos Sociais e Trabalhistas</t>
  </si>
  <si>
    <t>4.1</t>
  </si>
  <si>
    <t>4.2</t>
  </si>
  <si>
    <t>4.3</t>
  </si>
  <si>
    <t>13º Salário + Adicional de férias</t>
  </si>
  <si>
    <t>4.4</t>
  </si>
  <si>
    <t>Custo de rescisão</t>
  </si>
  <si>
    <t>4.5</t>
  </si>
  <si>
    <t>Custo de reposição do profissional ausente</t>
  </si>
  <si>
    <t>Custo mensal (R$)</t>
  </si>
  <si>
    <t>Módulo 1 - Remuneração</t>
  </si>
  <si>
    <t>Módulo 2 - Benefícios mensais e diários</t>
  </si>
  <si>
    <t>Módulo 3 - Insumos Diversos</t>
  </si>
  <si>
    <t>Submódulo 4.1 - Encargos previdenciários e FGTS</t>
  </si>
  <si>
    <t>Submódulo 4.2 - 13º salário e adicional de Férias</t>
  </si>
  <si>
    <t>Submódulo 4.3 - Afastamento maternidade</t>
  </si>
  <si>
    <t>Submódulo 4.4 - Provisão para Rescisão</t>
  </si>
  <si>
    <t>Submódulo 4.5 - Custo de Reposição do Profissional Ausente</t>
  </si>
  <si>
    <t>Módulo 4 - Encargos Sociais e Trabalhistas</t>
  </si>
  <si>
    <t>Módulos</t>
  </si>
  <si>
    <t>Módulo 5 - Custos Indiretos, Tributos e Lucro</t>
  </si>
  <si>
    <t>Resumo MOB / Insumos Diversos</t>
  </si>
  <si>
    <t>Demais componentes</t>
  </si>
  <si>
    <t>Despesas Operacionais / Administrativas</t>
  </si>
  <si>
    <t>Pencentual médio praticado pelas empresas do setor (%):</t>
  </si>
  <si>
    <t>Lucro</t>
  </si>
  <si>
    <t>Custos indiretos e Lucro</t>
  </si>
  <si>
    <t>Lucro Presumido</t>
  </si>
  <si>
    <t>PIS</t>
  </si>
  <si>
    <t>Percentual PIS (%):</t>
  </si>
  <si>
    <t>Percentual COFINS (%):</t>
  </si>
  <si>
    <t>Percentual ISS (%):</t>
  </si>
  <si>
    <t>Coeficiente:</t>
  </si>
  <si>
    <t>COFINS</t>
  </si>
  <si>
    <t>ISS</t>
  </si>
  <si>
    <t>Total dos Tributos</t>
  </si>
  <si>
    <t>Lucro Real</t>
  </si>
  <si>
    <t xml:space="preserve"> An IV - LC 123/06 =&gt; Alíquota (%):</t>
  </si>
  <si>
    <t>Partilha do Simples - IRPJ (%):</t>
  </si>
  <si>
    <t>Partilha do Simples - CSSL (%):</t>
  </si>
  <si>
    <t>Partilha do Simples - ISS (%):</t>
  </si>
  <si>
    <t>Alíquota do Simples(%):</t>
  </si>
  <si>
    <t>Tributos</t>
  </si>
  <si>
    <t>Custos Indiretos</t>
  </si>
  <si>
    <t>Componentes</t>
  </si>
  <si>
    <t>Adicional de férias</t>
  </si>
  <si>
    <t>Número de funcionários na execução do contrato:</t>
  </si>
  <si>
    <t>Quadro resumo do Custo por Empregado</t>
  </si>
  <si>
    <t>Módulo 1 - Composição da Remuneração</t>
  </si>
  <si>
    <t>Módulo 2 - Benefícios Mensais e Diários</t>
  </si>
  <si>
    <t>Módulo 4 - Encargos Sociais e Trabalhista</t>
  </si>
  <si>
    <t>Módulo 5 - Custos indiretos, tributos e lucro</t>
  </si>
  <si>
    <t>Valor Mensal dos Serviços</t>
  </si>
  <si>
    <t>Área Interna</t>
  </si>
  <si>
    <t>Esquadria externa - Face interna/externa</t>
  </si>
  <si>
    <t>Mão de Obra</t>
  </si>
  <si>
    <t>(1) Produ-tividade (1/m²)</t>
  </si>
  <si>
    <t>(2) Preço Home-mês (R$)</t>
  </si>
  <si>
    <t>(1 x 2) Subtotal (R$/m²)</t>
  </si>
  <si>
    <t>(2) Frequência no mês (horas)</t>
  </si>
  <si>
    <t>(3) Jornada de trabalho no mês (horas)</t>
  </si>
  <si>
    <t>(4) (1 x 2 x 3) Ki</t>
  </si>
  <si>
    <t>(5) Preço homem-mês (R$)</t>
  </si>
  <si>
    <t>(4 x 5) Preço homem-mês (R$)</t>
  </si>
  <si>
    <t>Área Externa</t>
  </si>
  <si>
    <t>Fachada envidraçada - Face externa</t>
  </si>
  <si>
    <t>(2) Frequência no semestre (horas)</t>
  </si>
  <si>
    <t>(3) Jornada de trabalho no semestre (horas)</t>
  </si>
  <si>
    <t>(4) (1 x 2 x 3) Ke</t>
  </si>
  <si>
    <t>Área Médico-Hospitalar</t>
  </si>
  <si>
    <t>Preço Mensal Unitário por M²</t>
  </si>
  <si>
    <t>Tipo de área</t>
  </si>
  <si>
    <t>I - Área Interna</t>
  </si>
  <si>
    <t>II - Área Externa</t>
  </si>
  <si>
    <t>III - Esquadria Externa</t>
  </si>
  <si>
    <t>IV - Fachada Envidraçada</t>
  </si>
  <si>
    <t>V - Área Médico-Hospitalar</t>
  </si>
  <si>
    <t>Preço Mensal Unitário (R$/M²)</t>
  </si>
  <si>
    <t>Área                   (M²)</t>
  </si>
  <si>
    <t>Subtotal                    (R$)</t>
  </si>
  <si>
    <t>Tipo de Área</t>
  </si>
  <si>
    <t>Produtividade (1/m²)</t>
  </si>
  <si>
    <t>Área a ser limpa (m²)</t>
  </si>
  <si>
    <t>Ke</t>
  </si>
  <si>
    <t>Quantidade de Servente</t>
  </si>
  <si>
    <t>Servente/ Encarregado</t>
  </si>
  <si>
    <t>Quantidade de Encarregado</t>
  </si>
  <si>
    <t>I - Áreas Interna</t>
  </si>
  <si>
    <t>Pisos acarpetados</t>
  </si>
  <si>
    <t>-</t>
  </si>
  <si>
    <t>Pisos frios</t>
  </si>
  <si>
    <t>Laboratórios</t>
  </si>
  <si>
    <t>Almoxarifados/Galpões</t>
  </si>
  <si>
    <t>Oficinas</t>
  </si>
  <si>
    <t>Áreas com espaço livres: saguão, hall e salão</t>
  </si>
  <si>
    <t>II - Áreas Externas</t>
  </si>
  <si>
    <t>Pisos pavimentados adjacentes/contínuos à edificação</t>
  </si>
  <si>
    <t>Varrição de passeios e arruamentos</t>
  </si>
  <si>
    <t>Pátios e áreas verdes com alta frequência</t>
  </si>
  <si>
    <t>Pátios e áreas verdes com média frequência</t>
  </si>
  <si>
    <t>Pátios e áreas verdes com baixa frequência</t>
  </si>
  <si>
    <t>Coleta de detritos em pátios e áreas verdes com frequência diária</t>
  </si>
  <si>
    <t>III - Esquadrias externas</t>
  </si>
  <si>
    <t>Face externa com exposição a situação de risco</t>
  </si>
  <si>
    <t>Face externa sem exposição a situação de risco</t>
  </si>
  <si>
    <t>Face interna</t>
  </si>
  <si>
    <t>Fachadas envidraçadas</t>
  </si>
  <si>
    <t>Áreas hospitalares e assemelhadas</t>
  </si>
  <si>
    <t>Total de mão-de-obra</t>
  </si>
  <si>
    <t>Células onde os dados podem sem atualizados, estão na cor verde =&gt;</t>
  </si>
  <si>
    <t>IV - Fachadas envidraçadas</t>
  </si>
  <si>
    <t>V - Áreas hospitalares e assemelhadas</t>
  </si>
  <si>
    <t>Encarregado de limpeza predial</t>
  </si>
  <si>
    <t>ITEM</t>
  </si>
  <si>
    <t>DESCRIÇÃO DO EQUIPAMENTO</t>
  </si>
  <si>
    <t>UNID.</t>
  </si>
  <si>
    <t>QTDE</t>
  </si>
  <si>
    <t>PREÇO UNIT.</t>
  </si>
  <si>
    <t>PREÇO TOTAL</t>
  </si>
  <si>
    <t>pç</t>
  </si>
  <si>
    <t>TOTAL</t>
  </si>
  <si>
    <t>EQUIPAMENTOS ANUAIS</t>
  </si>
  <si>
    <t>Assitência odontológica</t>
  </si>
  <si>
    <t>Valor mensal da Assist. Odontológica (R$):</t>
  </si>
  <si>
    <t>Valor mensal da Assist. Médica (R$):</t>
  </si>
  <si>
    <t>Valor Mensal do auxílio creche (R$):</t>
  </si>
  <si>
    <t>Qtde de meses por ano em que o Auxílio Creche é concedido</t>
  </si>
  <si>
    <t>Incidência de ocorrência sobre os funcionários</t>
  </si>
  <si>
    <t>Máquinas e equipamentos - consumidos em 12 meses</t>
  </si>
  <si>
    <t>Depreciação - equipamentos consumidos em preríodo superior a 12 meses</t>
  </si>
  <si>
    <t>Vlr Unit</t>
  </si>
  <si>
    <t>Nr de itens por ano</t>
  </si>
  <si>
    <t>Valor unitário do par de meias (R$):</t>
  </si>
  <si>
    <t>Valor unitário do par de sapatos (R$):</t>
  </si>
  <si>
    <t>Outras peças (especificar)</t>
  </si>
  <si>
    <t>Valor recolhido mensalmente ao Sindicato Patronal:</t>
  </si>
  <si>
    <t>Área correspondente</t>
  </si>
  <si>
    <t>← Planilha "Equipamentos"</t>
  </si>
  <si>
    <t>EQUIPAMENTOS DURÁVEIS</t>
  </si>
  <si>
    <t>Carro funcional de limpeza fabricado em plástico de alto impacto, acompanhado de saco de poliester.</t>
  </si>
  <si>
    <t>Placas dobráveis (dupla face) de identificação de serviços.</t>
  </si>
  <si>
    <t>Tipo de Serviço                                      (A)</t>
  </si>
  <si>
    <t>Valor proposto por empregado (B)</t>
  </si>
  <si>
    <t xml:space="preserve">Qtde de empregados por posto     (C) </t>
  </si>
  <si>
    <t xml:space="preserve">Valor proposto por posto (D)=(B)x(C) </t>
  </si>
  <si>
    <t>Qtde de postos (E)</t>
  </si>
  <si>
    <t>Valor total do serviço (F)=(D)x(E)</t>
  </si>
  <si>
    <t>II</t>
  </si>
  <si>
    <t>Valor Mensal dos Serviços (p/ área limpa)</t>
  </si>
  <si>
    <t>Total de mão de obra sem arredondamento para número inteiro</t>
  </si>
  <si>
    <t>Receita Bruta em 12 meses acima de (R$):</t>
  </si>
  <si>
    <t>Receita Bruta em 12 meses até (R$):</t>
  </si>
  <si>
    <t>Valor unitário do par de botas (R$):</t>
  </si>
  <si>
    <t>Enceradeira industrial com a seguintes especificação: Que utilize discos de limpeza de 440 mm; Potência mínima do motor elétrico: 1,00 HP; Tensão: 220 Volts; Rotação mínima da escova: 170 rpm, Capacidade operacional mínima: 2.000 m2</t>
  </si>
  <si>
    <t>metro</t>
  </si>
  <si>
    <t>Aspirador de água e pó de 1400W, 30 litros,profissional, motorização dupla, rodas de grande diâmetro, conexão mangueira com engate. Saco de pó confeccionado em tecido.</t>
  </si>
  <si>
    <t>Escada de alumínio 5 (cinco) degraus: Produzida em alumínio e acabamento em pintura epóxi. Altura útil: 1,17m; Altura total: 1,74m. Capacidade de suporte de peso: 120 kg</t>
  </si>
  <si>
    <t>Und</t>
  </si>
  <si>
    <t>(a)</t>
  </si>
  <si>
    <t>(b)</t>
  </si>
  <si>
    <t xml:space="preserve">(c) </t>
  </si>
  <si>
    <t>(d)</t>
  </si>
  <si>
    <t>(e)</t>
  </si>
  <si>
    <t>(a+b+c+d+e)</t>
  </si>
  <si>
    <t>Rateio de insumos diversos per capita (SERVENTES)</t>
  </si>
  <si>
    <t>Valor Mensal do Serviço</t>
  </si>
  <si>
    <t>Lavadora de alta pressão para uso semi-profissional. Com motor de indução isento de escovas. Especificações técnicas: Pressão Máxima: 120 bar (1740 libras); Vazão mínima: 360/litros por hora; Alimentação: 220V; Comprimento chicote elétrico: 5m; Comprimento mangueira: 5,5 m (trama de aço); Rodas para transporte: integrada..</t>
  </si>
  <si>
    <t>Total das áreas</t>
  </si>
  <si>
    <t>Arredondamento do Nr Funcionários</t>
  </si>
  <si>
    <t>Mangueira plástica, diâmetro interno de ½”, com espessura da parede de no mínimo 3 mm</t>
  </si>
  <si>
    <t>Balde espremedor doblo: balde espremedor com divisor de águas, capacidade mínima de 30 litros, para carro funcional de limpeza.</t>
  </si>
  <si>
    <t>Custo com funcionários</t>
  </si>
  <si>
    <t>Valor Total da Proposta</t>
  </si>
  <si>
    <t>Quadro resumo - Total por postos de trabalho</t>
  </si>
  <si>
    <t>Incidência do FGTS sobre Aviso Prévio Indenizado</t>
  </si>
</sst>
</file>

<file path=xl/styles.xml><?xml version="1.0" encoding="utf-8"?>
<styleSheet xmlns="http://schemas.openxmlformats.org/spreadsheetml/2006/main">
  <numFmts count="5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  <numFmt numFmtId="174" formatCode="&quot;R$ &quot;#,##0.00"/>
    <numFmt numFmtId="175" formatCode="0.000"/>
    <numFmt numFmtId="176" formatCode="0.0000"/>
    <numFmt numFmtId="177" formatCode="0.00000"/>
    <numFmt numFmtId="178" formatCode="0.000000"/>
    <numFmt numFmtId="179" formatCode="_(* #,##0.0000_);_(* \(#,##0.0000\);_(* &quot;-&quot;????_);_(@_)"/>
    <numFmt numFmtId="180" formatCode="0.0000%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.0000000000"/>
    <numFmt numFmtId="187" formatCode="0.00000000000"/>
    <numFmt numFmtId="188" formatCode="0.000000000"/>
    <numFmt numFmtId="189" formatCode="0.00000000"/>
    <numFmt numFmtId="190" formatCode="0.0000000"/>
    <numFmt numFmtId="191" formatCode="_(* #,##0.00000_);_(* \(#,##0.00000\);_(* &quot;-&quot;??_);_(@_)"/>
    <numFmt numFmtId="192" formatCode="#,##0.0"/>
    <numFmt numFmtId="193" formatCode="_(* #,##0.0000000_);_(* \(#,##0.0000000\);_(* &quot;-&quot;???????_);_(@_)"/>
    <numFmt numFmtId="194" formatCode="_(* #,##0.000000_);_(* \(#,##0.000000\);_(* &quot;-&quot;??????_);_(@_)"/>
    <numFmt numFmtId="195" formatCode="_(* #,##0.00000_);_(* \(#,##0.00000\);_(* &quot;-&quot;????_);_(@_)"/>
    <numFmt numFmtId="196" formatCode="_(* #,##0.000_);_(* \(#,##0.000\);_(* &quot;-&quot;????_);_(@_)"/>
    <numFmt numFmtId="197" formatCode="_(* #,##0.00_);_(* \(#,##0.00\);_(* &quot;-&quot;????_);_(@_)"/>
    <numFmt numFmtId="198" formatCode="0.000000000000"/>
    <numFmt numFmtId="199" formatCode="#,##0.000_);\(#,##0.000\)"/>
    <numFmt numFmtId="200" formatCode="#,##0.0000_);\(#,##0.0000\)"/>
    <numFmt numFmtId="201" formatCode="_(* #,##0.000000_);_(* \(#,##0.000000\);_(* &quot;-&quot;??_);_(@_)"/>
    <numFmt numFmtId="202" formatCode="#,##0.000"/>
    <numFmt numFmtId="203" formatCode="#,##0.0000"/>
    <numFmt numFmtId="204" formatCode="_(* #,##0.0000000_);_(* \(#,##0.0000000\);_(* &quot;-&quot;??_);_(@_)"/>
    <numFmt numFmtId="205" formatCode="_(* #,##0.00000000_);_(* \(#,##0.00000000\);_(* &quot;-&quot;??_);_(@_)"/>
    <numFmt numFmtId="206" formatCode="_(&quot;R$&quot;* #,##0.00_);_(&quot;R$&quot;* \(#,##0.00\);_(&quot;R$&quot;* &quot;-&quot;??_);_(@_)"/>
    <numFmt numFmtId="207" formatCode="&quot;Sim&quot;;&quot;Sim&quot;;&quot;Não&quot;"/>
    <numFmt numFmtId="208" formatCode="&quot;Verdadeiro&quot;;&quot;Verdadeiro&quot;;&quot;Falso&quot;"/>
    <numFmt numFmtId="209" formatCode="&quot;Ativar&quot;;&quot;Ativar&quot;;&quot;Desativar&quot;"/>
    <numFmt numFmtId="210" formatCode="[$€-2]\ #,##0.00_);[Red]\([$€-2]\ #,##0.00\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7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61"/>
      <name val="Arial"/>
      <family val="0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5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 applyProtection="1">
      <alignment horizontal="center"/>
      <protection locked="0"/>
    </xf>
    <xf numFmtId="0" fontId="0" fillId="16" borderId="0" xfId="0" applyFill="1" applyAlignment="1">
      <alignment/>
    </xf>
    <xf numFmtId="0" fontId="0" fillId="16" borderId="0" xfId="0" applyFill="1" applyAlignment="1">
      <alignment horizontal="center"/>
    </xf>
    <xf numFmtId="43" fontId="0" fillId="0" borderId="0" xfId="0" applyNumberFormat="1" applyAlignment="1">
      <alignment/>
    </xf>
    <xf numFmtId="0" fontId="0" fillId="24" borderId="0" xfId="0" applyFill="1" applyAlignment="1" applyProtection="1">
      <alignment horizontal="left"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16" borderId="0" xfId="0" applyFont="1" applyFill="1" applyAlignment="1">
      <alignment/>
    </xf>
    <xf numFmtId="43" fontId="0" fillId="16" borderId="0" xfId="0" applyNumberFormat="1" applyFill="1" applyAlignment="1">
      <alignment/>
    </xf>
    <xf numFmtId="39" fontId="0" fillId="0" borderId="0" xfId="54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4" fontId="0" fillId="24" borderId="0" xfId="0" applyNumberFormat="1" applyFont="1" applyFill="1" applyBorder="1" applyAlignment="1" applyProtection="1">
      <alignment/>
      <protection locked="0"/>
    </xf>
    <xf numFmtId="4" fontId="0" fillId="25" borderId="12" xfId="0" applyNumberFormat="1" applyFill="1" applyBorder="1" applyAlignment="1" applyProtection="1">
      <alignment/>
      <protection/>
    </xf>
    <xf numFmtId="173" fontId="0" fillId="24" borderId="0" xfId="0" applyNumberFormat="1" applyFill="1" applyBorder="1" applyAlignment="1" applyProtection="1">
      <alignment/>
      <protection locked="0"/>
    </xf>
    <xf numFmtId="173" fontId="0" fillId="0" borderId="12" xfId="0" applyNumberForma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17" borderId="0" xfId="0" applyFont="1" applyFill="1" applyAlignment="1">
      <alignment/>
    </xf>
    <xf numFmtId="0" fontId="2" fillId="17" borderId="0" xfId="0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43" fontId="0" fillId="0" borderId="16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3" fillId="22" borderId="0" xfId="0" applyFont="1" applyFill="1" applyBorder="1" applyAlignment="1">
      <alignment horizontal="right"/>
    </xf>
    <xf numFmtId="43" fontId="4" fillId="24" borderId="0" xfId="54" applyFont="1" applyFill="1" applyBorder="1" applyAlignment="1" applyProtection="1">
      <alignment/>
      <protection locked="0"/>
    </xf>
    <xf numFmtId="43" fontId="0" fillId="0" borderId="12" xfId="0" applyNumberFormat="1" applyBorder="1" applyAlignment="1">
      <alignment/>
    </xf>
    <xf numFmtId="0" fontId="4" fillId="24" borderId="0" xfId="0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25" borderId="11" xfId="0" applyFill="1" applyBorder="1" applyAlignment="1">
      <alignment/>
    </xf>
    <xf numFmtId="0" fontId="3" fillId="25" borderId="0" xfId="0" applyFont="1" applyFill="1" applyBorder="1" applyAlignment="1">
      <alignment horizontal="right"/>
    </xf>
    <xf numFmtId="0" fontId="0" fillId="25" borderId="0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0" xfId="0" applyFill="1" applyAlignment="1">
      <alignment/>
    </xf>
    <xf numFmtId="43" fontId="2" fillId="16" borderId="17" xfId="54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3" fontId="0" fillId="0" borderId="18" xfId="0" applyNumberFormat="1" applyBorder="1" applyAlignment="1">
      <alignment/>
    </xf>
    <xf numFmtId="0" fontId="0" fillId="24" borderId="0" xfId="0" applyFont="1" applyFill="1" applyBorder="1" applyAlignment="1" applyProtection="1">
      <alignment horizontal="left"/>
      <protection locked="0"/>
    </xf>
    <xf numFmtId="0" fontId="0" fillId="0" borderId="19" xfId="0" applyFont="1" applyBorder="1" applyAlignment="1">
      <alignment horizontal="center"/>
    </xf>
    <xf numFmtId="43" fontId="0" fillId="0" borderId="20" xfId="0" applyNumberForma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16" borderId="15" xfId="0" applyFont="1" applyFill="1" applyBorder="1" applyAlignment="1">
      <alignment/>
    </xf>
    <xf numFmtId="0" fontId="2" fillId="16" borderId="18" xfId="0" applyFont="1" applyFill="1" applyBorder="1" applyAlignment="1">
      <alignment/>
    </xf>
    <xf numFmtId="0" fontId="2" fillId="16" borderId="18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2" fontId="0" fillId="24" borderId="18" xfId="0" applyNumberFormat="1" applyFill="1" applyBorder="1" applyAlignment="1" applyProtection="1">
      <alignment/>
      <protection locked="0"/>
    </xf>
    <xf numFmtId="43" fontId="0" fillId="0" borderId="18" xfId="0" applyNumberFormat="1" applyFill="1" applyBorder="1" applyAlignment="1">
      <alignment/>
    </xf>
    <xf numFmtId="2" fontId="0" fillId="0" borderId="18" xfId="0" applyNumberFormat="1" applyFill="1" applyBorder="1" applyAlignment="1" applyProtection="1">
      <alignment/>
      <protection/>
    </xf>
    <xf numFmtId="43" fontId="0" fillId="0" borderId="16" xfId="0" applyNumberFormat="1" applyFill="1" applyBorder="1" applyAlignment="1">
      <alignment/>
    </xf>
    <xf numFmtId="0" fontId="0" fillId="0" borderId="18" xfId="0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 horizontal="center"/>
    </xf>
    <xf numFmtId="0" fontId="6" fillId="24" borderId="0" xfId="0" applyFont="1" applyFill="1" applyBorder="1" applyAlignment="1" applyProtection="1">
      <alignment/>
      <protection locked="0"/>
    </xf>
    <xf numFmtId="176" fontId="0" fillId="16" borderId="18" xfId="0" applyNumberFormat="1" applyFill="1" applyBorder="1" applyAlignment="1">
      <alignment/>
    </xf>
    <xf numFmtId="0" fontId="2" fillId="16" borderId="21" xfId="0" applyFont="1" applyFill="1" applyBorder="1" applyAlignment="1">
      <alignment horizontal="center"/>
    </xf>
    <xf numFmtId="0" fontId="2" fillId="16" borderId="22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horizontal="left" wrapText="1"/>
    </xf>
    <xf numFmtId="43" fontId="0" fillId="0" borderId="10" xfId="0" applyNumberFormat="1" applyFill="1" applyBorder="1" applyAlignment="1">
      <alignment vertical="center"/>
    </xf>
    <xf numFmtId="43" fontId="2" fillId="16" borderId="2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43" fontId="0" fillId="0" borderId="0" xfId="0" applyNumberFormat="1" applyFill="1" applyBorder="1" applyAlignment="1">
      <alignment vertical="center"/>
    </xf>
    <xf numFmtId="43" fontId="0" fillId="0" borderId="12" xfId="0" applyNumberFormat="1" applyFill="1" applyBorder="1" applyAlignment="1">
      <alignment vertical="center"/>
    </xf>
    <xf numFmtId="176" fontId="0" fillId="0" borderId="24" xfId="0" applyNumberFormat="1" applyFont="1" applyBorder="1" applyAlignment="1">
      <alignment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justify" vertical="center" wrapText="1"/>
      <protection/>
    </xf>
    <xf numFmtId="0" fontId="0" fillId="0" borderId="18" xfId="0" applyFont="1" applyFill="1" applyBorder="1" applyAlignment="1">
      <alignment horizontal="left" vertical="center"/>
    </xf>
    <xf numFmtId="43" fontId="0" fillId="0" borderId="18" xfId="0" applyNumberFormat="1" applyBorder="1" applyAlignment="1">
      <alignment horizontal="center" vertical="center"/>
    </xf>
    <xf numFmtId="0" fontId="0" fillId="0" borderId="18" xfId="0" applyFont="1" applyBorder="1" applyAlignment="1">
      <alignment/>
    </xf>
    <xf numFmtId="176" fontId="0" fillId="0" borderId="18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176" fontId="0" fillId="0" borderId="18" xfId="0" applyNumberFormat="1" applyFont="1" applyFill="1" applyBorder="1" applyAlignment="1" applyProtection="1">
      <alignment horizontal="right" vertical="center" wrapText="1"/>
      <protection/>
    </xf>
    <xf numFmtId="197" fontId="0" fillId="0" borderId="18" xfId="0" applyNumberFormat="1" applyFont="1" applyFill="1" applyBorder="1" applyAlignment="1" applyProtection="1">
      <alignment horizontal="justify" vertical="center" wrapText="1"/>
      <protection/>
    </xf>
    <xf numFmtId="43" fontId="0" fillId="16" borderId="16" xfId="0" applyNumberForma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43" fontId="0" fillId="0" borderId="16" xfId="0" applyNumberFormat="1" applyBorder="1" applyAlignment="1">
      <alignment horizontal="center" vertical="center"/>
    </xf>
    <xf numFmtId="43" fontId="0" fillId="0" borderId="16" xfId="0" applyNumberFormat="1" applyFont="1" applyBorder="1" applyAlignment="1">
      <alignment/>
    </xf>
    <xf numFmtId="197" fontId="0" fillId="0" borderId="16" xfId="0" applyNumberFormat="1" applyFont="1" applyFill="1" applyBorder="1" applyAlignment="1" applyProtection="1">
      <alignment horizontal="justify" vertical="center" wrapText="1"/>
      <protection/>
    </xf>
    <xf numFmtId="176" fontId="0" fillId="0" borderId="0" xfId="0" applyNumberFormat="1" applyFont="1" applyFill="1" applyBorder="1" applyAlignment="1" applyProtection="1">
      <alignment horizontal="right" vertical="center" wrapText="1"/>
      <protection/>
    </xf>
    <xf numFmtId="197" fontId="0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>
      <alignment horizontal="left" wrapText="1"/>
    </xf>
    <xf numFmtId="43" fontId="0" fillId="0" borderId="25" xfId="0" applyNumberFormat="1" applyBorder="1" applyAlignment="1">
      <alignment horizontal="center" vertical="center"/>
    </xf>
    <xf numFmtId="0" fontId="2" fillId="16" borderId="26" xfId="0" applyFont="1" applyFill="1" applyBorder="1" applyAlignment="1">
      <alignment horizontal="center"/>
    </xf>
    <xf numFmtId="0" fontId="2" fillId="16" borderId="27" xfId="0" applyFont="1" applyFill="1" applyBorder="1" applyAlignment="1">
      <alignment horizontal="center"/>
    </xf>
    <xf numFmtId="176" fontId="0" fillId="0" borderId="27" xfId="0" applyNumberFormat="1" applyBorder="1" applyAlignment="1">
      <alignment/>
    </xf>
    <xf numFmtId="0" fontId="2" fillId="16" borderId="2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97" fontId="0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3" fontId="0" fillId="0" borderId="12" xfId="0" applyNumberFormat="1" applyFont="1" applyFill="1" applyBorder="1" applyAlignment="1">
      <alignment/>
    </xf>
    <xf numFmtId="43" fontId="0" fillId="0" borderId="12" xfId="0" applyNumberFormat="1" applyFill="1" applyBorder="1" applyAlignment="1">
      <alignment/>
    </xf>
    <xf numFmtId="2" fontId="2" fillId="16" borderId="31" xfId="0" applyNumberFormat="1" applyFont="1" applyFill="1" applyBorder="1" applyAlignment="1">
      <alignment horizontal="right"/>
    </xf>
    <xf numFmtId="176" fontId="0" fillId="0" borderId="32" xfId="0" applyNumberFormat="1" applyFont="1" applyFill="1" applyBorder="1" applyAlignment="1">
      <alignment/>
    </xf>
    <xf numFmtId="176" fontId="0" fillId="0" borderId="32" xfId="0" applyNumberFormat="1" applyFill="1" applyBorder="1" applyAlignment="1">
      <alignment/>
    </xf>
    <xf numFmtId="176" fontId="0" fillId="0" borderId="32" xfId="0" applyNumberFormat="1" applyFont="1" applyFill="1" applyBorder="1" applyAlignment="1" applyProtection="1">
      <alignment horizontal="right" vertical="center" wrapText="1"/>
      <protection/>
    </xf>
    <xf numFmtId="0" fontId="2" fillId="16" borderId="33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2" fillId="26" borderId="3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3" fillId="22" borderId="0" xfId="0" applyFont="1" applyFill="1" applyBorder="1" applyAlignment="1">
      <alignment horizontal="right" wrapText="1"/>
    </xf>
    <xf numFmtId="0" fontId="4" fillId="24" borderId="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43" fontId="0" fillId="0" borderId="12" xfId="0" applyNumberFormat="1" applyBorder="1" applyAlignment="1">
      <alignment horizontal="center" vertical="center"/>
    </xf>
    <xf numFmtId="197" fontId="0" fillId="0" borderId="22" xfId="0" applyNumberFormat="1" applyFont="1" applyFill="1" applyBorder="1" applyAlignment="1" applyProtection="1">
      <alignment horizontal="justify" vertical="center" wrapText="1"/>
      <protection/>
    </xf>
    <xf numFmtId="176" fontId="0" fillId="0" borderId="35" xfId="0" applyNumberFormat="1" applyFont="1" applyFill="1" applyBorder="1" applyAlignment="1" applyProtection="1">
      <alignment horizontal="right" vertical="center" wrapText="1"/>
      <protection/>
    </xf>
    <xf numFmtId="176" fontId="0" fillId="0" borderId="21" xfId="0" applyNumberFormat="1" applyFont="1" applyFill="1" applyBorder="1" applyAlignment="1" applyProtection="1">
      <alignment horizontal="right" vertical="center" wrapText="1"/>
      <protection/>
    </xf>
    <xf numFmtId="176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3" fillId="22" borderId="21" xfId="0" applyFont="1" applyFill="1" applyBorder="1" applyAlignment="1">
      <alignment horizontal="right" wrapText="1"/>
    </xf>
    <xf numFmtId="176" fontId="0" fillId="0" borderId="0" xfId="0" applyNumberFormat="1" applyFill="1" applyBorder="1" applyAlignment="1">
      <alignment/>
    </xf>
    <xf numFmtId="197" fontId="0" fillId="0" borderId="21" xfId="0" applyNumberFormat="1" applyFont="1" applyFill="1" applyBorder="1" applyAlignment="1" applyProtection="1">
      <alignment horizontal="justify" vertical="center" wrapText="1"/>
      <protection/>
    </xf>
    <xf numFmtId="176" fontId="0" fillId="0" borderId="18" xfId="0" applyNumberFormat="1" applyBorder="1" applyAlignment="1">
      <alignment/>
    </xf>
    <xf numFmtId="0" fontId="0" fillId="0" borderId="37" xfId="0" applyFont="1" applyFill="1" applyBorder="1" applyAlignment="1" applyProtection="1">
      <alignment horizontal="center" vertical="center"/>
      <protection/>
    </xf>
    <xf numFmtId="176" fontId="0" fillId="0" borderId="0" xfId="0" applyNumberForma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6" fontId="2" fillId="16" borderId="21" xfId="0" applyNumberFormat="1" applyFont="1" applyFill="1" applyBorder="1" applyAlignment="1">
      <alignment horizontal="right"/>
    </xf>
    <xf numFmtId="176" fontId="2" fillId="16" borderId="18" xfId="0" applyNumberFormat="1" applyFont="1" applyFill="1" applyBorder="1" applyAlignment="1">
      <alignment horizontal="right"/>
    </xf>
    <xf numFmtId="176" fontId="0" fillId="0" borderId="18" xfId="0" applyNumberFormat="1" applyBorder="1" applyAlignment="1">
      <alignment vertical="center"/>
    </xf>
    <xf numFmtId="43" fontId="0" fillId="0" borderId="18" xfId="0" applyNumberFormat="1" applyBorder="1" applyAlignment="1">
      <alignment vertical="center"/>
    </xf>
    <xf numFmtId="2" fontId="2" fillId="16" borderId="18" xfId="0" applyNumberFormat="1" applyFont="1" applyFill="1" applyBorder="1" applyAlignment="1">
      <alignment horizontal="right"/>
    </xf>
    <xf numFmtId="176" fontId="2" fillId="16" borderId="17" xfId="0" applyNumberFormat="1" applyFont="1" applyFill="1" applyBorder="1" applyAlignment="1">
      <alignment horizontal="right"/>
    </xf>
    <xf numFmtId="176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6" fontId="2" fillId="16" borderId="23" xfId="0" applyNumberFormat="1" applyFont="1" applyFill="1" applyBorder="1" applyAlignment="1">
      <alignment horizontal="right"/>
    </xf>
    <xf numFmtId="43" fontId="2" fillId="16" borderId="31" xfId="54" applyFont="1" applyFill="1" applyBorder="1" applyAlignment="1">
      <alignment horizontal="right"/>
    </xf>
    <xf numFmtId="43" fontId="0" fillId="0" borderId="26" xfId="0" applyNumberFormat="1" applyBorder="1" applyAlignment="1">
      <alignment horizontal="center" vertical="center"/>
    </xf>
    <xf numFmtId="43" fontId="0" fillId="0" borderId="16" xfId="0" applyNumberFormat="1" applyBorder="1" applyAlignment="1">
      <alignment vertical="center"/>
    </xf>
    <xf numFmtId="2" fontId="2" fillId="16" borderId="16" xfId="0" applyNumberFormat="1" applyFont="1" applyFill="1" applyBorder="1" applyAlignment="1">
      <alignment horizontal="right"/>
    </xf>
    <xf numFmtId="2" fontId="2" fillId="16" borderId="23" xfId="0" applyNumberFormat="1" applyFont="1" applyFill="1" applyBorder="1" applyAlignment="1">
      <alignment horizontal="right"/>
    </xf>
    <xf numFmtId="43" fontId="0" fillId="24" borderId="0" xfId="54" applyFont="1" applyFill="1" applyBorder="1" applyAlignment="1" applyProtection="1">
      <alignment horizontal="left"/>
      <protection locked="0"/>
    </xf>
    <xf numFmtId="0" fontId="0" fillId="0" borderId="37" xfId="0" applyFont="1" applyBorder="1" applyAlignment="1">
      <alignment horizontal="center"/>
    </xf>
    <xf numFmtId="0" fontId="2" fillId="16" borderId="20" xfId="0" applyFont="1" applyFill="1" applyBorder="1" applyAlignment="1">
      <alignment horizontal="center"/>
    </xf>
    <xf numFmtId="43" fontId="0" fillId="0" borderId="38" xfId="0" applyNumberFormat="1" applyBorder="1" applyAlignment="1">
      <alignment/>
    </xf>
    <xf numFmtId="43" fontId="2" fillId="16" borderId="23" xfId="54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43" fontId="2" fillId="16" borderId="23" xfId="54" applyFont="1" applyFill="1" applyBorder="1" applyAlignment="1">
      <alignment horizontal="right"/>
    </xf>
    <xf numFmtId="39" fontId="2" fillId="0" borderId="0" xfId="54" applyNumberFormat="1" applyFont="1" applyAlignment="1">
      <alignment/>
    </xf>
    <xf numFmtId="43" fontId="2" fillId="16" borderId="23" xfId="54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43" fontId="0" fillId="0" borderId="22" xfId="0" applyNumberFormat="1" applyFill="1" applyBorder="1" applyAlignment="1">
      <alignment vertical="center"/>
    </xf>
    <xf numFmtId="43" fontId="0" fillId="0" borderId="16" xfId="0" applyNumberFormat="1" applyFill="1" applyBorder="1" applyAlignment="1">
      <alignment vertical="center"/>
    </xf>
    <xf numFmtId="0" fontId="3" fillId="25" borderId="11" xfId="0" applyFont="1" applyFill="1" applyBorder="1" applyAlignment="1">
      <alignment horizontal="right"/>
    </xf>
    <xf numFmtId="185" fontId="4" fillId="25" borderId="0" xfId="54" applyNumberFormat="1" applyFont="1" applyFill="1" applyBorder="1" applyAlignment="1" applyProtection="1">
      <alignment/>
      <protection/>
    </xf>
    <xf numFmtId="43" fontId="0" fillId="25" borderId="0" xfId="0" applyNumberFormat="1" applyFill="1" applyBorder="1" applyAlignment="1">
      <alignment vertical="center"/>
    </xf>
    <xf numFmtId="43" fontId="2" fillId="16" borderId="23" xfId="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43" fontId="2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wrapText="1"/>
    </xf>
    <xf numFmtId="0" fontId="0" fillId="25" borderId="14" xfId="0" applyFill="1" applyBorder="1" applyAlignment="1">
      <alignment horizontal="left" wrapText="1"/>
    </xf>
    <xf numFmtId="0" fontId="2" fillId="25" borderId="0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43" fontId="0" fillId="25" borderId="16" xfId="54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2" fillId="7" borderId="1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2" fillId="26" borderId="16" xfId="0" applyFont="1" applyFill="1" applyBorder="1" applyAlignment="1">
      <alignment horizontal="center"/>
    </xf>
    <xf numFmtId="43" fontId="0" fillId="25" borderId="25" xfId="54" applyFont="1" applyFill="1" applyBorder="1" applyAlignment="1" applyProtection="1">
      <alignment/>
      <protection/>
    </xf>
    <xf numFmtId="39" fontId="4" fillId="24" borderId="0" xfId="54" applyNumberFormat="1" applyFont="1" applyFill="1" applyBorder="1" applyAlignment="1" applyProtection="1">
      <alignment/>
      <protection locked="0"/>
    </xf>
    <xf numFmtId="43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right"/>
    </xf>
    <xf numFmtId="43" fontId="2" fillId="16" borderId="18" xfId="0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92" fontId="0" fillId="0" borderId="39" xfId="0" applyNumberFormat="1" applyFont="1" applyBorder="1" applyAlignment="1">
      <alignment horizontal="center"/>
    </xf>
    <xf numFmtId="43" fontId="2" fillId="0" borderId="4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3" fontId="2" fillId="0" borderId="41" xfId="0" applyNumberFormat="1" applyFont="1" applyBorder="1" applyAlignment="1">
      <alignment vertical="center"/>
    </xf>
    <xf numFmtId="192" fontId="0" fillId="0" borderId="18" xfId="0" applyNumberFormat="1" applyFont="1" applyBorder="1" applyAlignment="1">
      <alignment horizontal="center"/>
    </xf>
    <xf numFmtId="0" fontId="2" fillId="16" borderId="22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/>
    </xf>
    <xf numFmtId="43" fontId="0" fillId="5" borderId="16" xfId="0" applyNumberFormat="1" applyFill="1" applyBorder="1" applyAlignment="1">
      <alignment/>
    </xf>
    <xf numFmtId="0" fontId="0" fillId="8" borderId="18" xfId="0" applyFill="1" applyBorder="1" applyAlignment="1">
      <alignment/>
    </xf>
    <xf numFmtId="43" fontId="0" fillId="8" borderId="16" xfId="0" applyNumberFormat="1" applyFill="1" applyBorder="1" applyAlignment="1">
      <alignment/>
    </xf>
    <xf numFmtId="0" fontId="0" fillId="4" borderId="18" xfId="0" applyFill="1" applyBorder="1" applyAlignment="1">
      <alignment/>
    </xf>
    <xf numFmtId="43" fontId="0" fillId="4" borderId="16" xfId="0" applyNumberFormat="1" applyFill="1" applyBorder="1" applyAlignment="1">
      <alignment/>
    </xf>
    <xf numFmtId="43" fontId="0" fillId="22" borderId="16" xfId="0" applyNumberFormat="1" applyFill="1" applyBorder="1" applyAlignment="1">
      <alignment/>
    </xf>
    <xf numFmtId="43" fontId="0" fillId="7" borderId="42" xfId="0" applyNumberFormat="1" applyFill="1" applyBorder="1" applyAlignment="1">
      <alignment/>
    </xf>
    <xf numFmtId="0" fontId="0" fillId="5" borderId="15" xfId="0" applyFont="1" applyFill="1" applyBorder="1" applyAlignment="1">
      <alignment horizontal="left" vertical="center"/>
    </xf>
    <xf numFmtId="0" fontId="0" fillId="8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 applyProtection="1">
      <alignment horizontal="left" vertical="center"/>
      <protection/>
    </xf>
    <xf numFmtId="0" fontId="0" fillId="22" borderId="15" xfId="0" applyFont="1" applyFill="1" applyBorder="1" applyAlignment="1">
      <alignment horizontal="left" vertical="center"/>
    </xf>
    <xf numFmtId="0" fontId="0" fillId="7" borderId="4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/>
    </xf>
    <xf numFmtId="43" fontId="2" fillId="0" borderId="0" xfId="54" applyFont="1" applyFill="1" applyBorder="1" applyAlignment="1">
      <alignment/>
    </xf>
    <xf numFmtId="43" fontId="0" fillId="22" borderId="15" xfId="0" applyNumberFormat="1" applyFill="1" applyBorder="1" applyAlignment="1">
      <alignment/>
    </xf>
    <xf numFmtId="43" fontId="0" fillId="5" borderId="18" xfId="0" applyNumberFormat="1" applyFont="1" applyFill="1" applyBorder="1" applyAlignment="1">
      <alignment vertical="center" wrapText="1"/>
    </xf>
    <xf numFmtId="43" fontId="0" fillId="8" borderId="18" xfId="0" applyNumberFormat="1" applyFont="1" applyFill="1" applyBorder="1" applyAlignment="1">
      <alignment vertical="center" wrapText="1"/>
    </xf>
    <xf numFmtId="43" fontId="0" fillId="4" borderId="18" xfId="0" applyNumberFormat="1" applyFont="1" applyFill="1" applyBorder="1" applyAlignment="1">
      <alignment vertical="center" wrapText="1"/>
    </xf>
    <xf numFmtId="43" fontId="0" fillId="22" borderId="18" xfId="0" applyNumberFormat="1" applyFont="1" applyFill="1" applyBorder="1" applyAlignment="1">
      <alignment vertical="center" wrapText="1"/>
    </xf>
    <xf numFmtId="43" fontId="0" fillId="7" borderId="35" xfId="0" applyNumberFormat="1" applyFont="1" applyFill="1" applyBorder="1" applyAlignment="1">
      <alignment vertical="center" wrapText="1"/>
    </xf>
    <xf numFmtId="43" fontId="0" fillId="5" borderId="15" xfId="0" applyNumberFormat="1" applyFill="1" applyBorder="1" applyAlignment="1">
      <alignment/>
    </xf>
    <xf numFmtId="43" fontId="0" fillId="8" borderId="15" xfId="0" applyNumberFormat="1" applyFill="1" applyBorder="1" applyAlignment="1">
      <alignment/>
    </xf>
    <xf numFmtId="43" fontId="0" fillId="4" borderId="15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22" xfId="0" applyBorder="1" applyAlignment="1">
      <alignment/>
    </xf>
    <xf numFmtId="4" fontId="4" fillId="24" borderId="18" xfId="0" applyNumberFormat="1" applyFont="1" applyFill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190" fontId="0" fillId="0" borderId="18" xfId="0" applyNumberFormat="1" applyBorder="1" applyAlignment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0" fontId="2" fillId="5" borderId="15" xfId="0" applyFont="1" applyFill="1" applyBorder="1" applyAlignment="1">
      <alignment/>
    </xf>
    <xf numFmtId="0" fontId="0" fillId="5" borderId="18" xfId="0" applyFill="1" applyBorder="1" applyAlignment="1">
      <alignment vertical="center"/>
    </xf>
    <xf numFmtId="4" fontId="0" fillId="5" borderId="18" xfId="0" applyNumberFormat="1" applyFill="1" applyBorder="1" applyAlignment="1">
      <alignment horizontal="center" vertical="center"/>
    </xf>
    <xf numFmtId="3" fontId="0" fillId="5" borderId="18" xfId="0" applyNumberFormat="1" applyFill="1" applyBorder="1" applyAlignment="1">
      <alignment horizontal="center"/>
    </xf>
    <xf numFmtId="0" fontId="0" fillId="5" borderId="16" xfId="0" applyFill="1" applyBorder="1" applyAlignment="1">
      <alignment vertical="center"/>
    </xf>
    <xf numFmtId="0" fontId="2" fillId="8" borderId="44" xfId="0" applyFont="1" applyFill="1" applyBorder="1" applyAlignment="1">
      <alignment/>
    </xf>
    <xf numFmtId="3" fontId="0" fillId="8" borderId="18" xfId="0" applyNumberFormat="1" applyFill="1" applyBorder="1" applyAlignment="1">
      <alignment horizontal="center" vertical="center"/>
    </xf>
    <xf numFmtId="3" fontId="0" fillId="8" borderId="18" xfId="0" applyNumberFormat="1" applyFill="1" applyBorder="1" applyAlignment="1">
      <alignment horizontal="center"/>
    </xf>
    <xf numFmtId="176" fontId="0" fillId="8" borderId="18" xfId="0" applyNumberFormat="1" applyFill="1" applyBorder="1" applyAlignment="1">
      <alignment horizontal="center" vertical="center"/>
    </xf>
    <xf numFmtId="176" fontId="0" fillId="8" borderId="16" xfId="0" applyNumberFormat="1" applyFill="1" applyBorder="1" applyAlignment="1">
      <alignment horizontal="center" vertical="center"/>
    </xf>
    <xf numFmtId="0" fontId="2" fillId="4" borderId="15" xfId="0" applyFont="1" applyFill="1" applyBorder="1" applyAlignment="1">
      <alignment/>
    </xf>
    <xf numFmtId="0" fontId="0" fillId="4" borderId="18" xfId="0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176" fontId="0" fillId="4" borderId="18" xfId="0" applyNumberFormat="1" applyFill="1" applyBorder="1" applyAlignment="1">
      <alignment horizontal="center" vertical="center"/>
    </xf>
    <xf numFmtId="3" fontId="0" fillId="4" borderId="18" xfId="0" applyNumberFormat="1" applyFill="1" applyBorder="1" applyAlignment="1">
      <alignment horizontal="center" vertical="center"/>
    </xf>
    <xf numFmtId="176" fontId="0" fillId="4" borderId="16" xfId="0" applyNumberFormat="1" applyFill="1" applyBorder="1" applyAlignment="1">
      <alignment horizontal="center" vertical="center"/>
    </xf>
    <xf numFmtId="3" fontId="0" fillId="22" borderId="18" xfId="0" applyNumberFormat="1" applyFill="1" applyBorder="1" applyAlignment="1">
      <alignment horizontal="center" vertical="center"/>
    </xf>
    <xf numFmtId="190" fontId="0" fillId="22" borderId="18" xfId="0" applyNumberFormat="1" applyFill="1" applyBorder="1" applyAlignment="1">
      <alignment horizontal="center" vertical="center"/>
    </xf>
    <xf numFmtId="176" fontId="0" fillId="22" borderId="18" xfId="0" applyNumberFormat="1" applyFill="1" applyBorder="1" applyAlignment="1">
      <alignment horizontal="center" vertical="center"/>
    </xf>
    <xf numFmtId="1" fontId="0" fillId="22" borderId="18" xfId="0" applyNumberFormat="1" applyFill="1" applyBorder="1" applyAlignment="1">
      <alignment horizontal="center" vertical="center"/>
    </xf>
    <xf numFmtId="176" fontId="0" fillId="22" borderId="16" xfId="0" applyNumberFormat="1" applyFill="1" applyBorder="1" applyAlignment="1">
      <alignment horizontal="center" vertical="center"/>
    </xf>
    <xf numFmtId="3" fontId="0" fillId="7" borderId="18" xfId="0" applyNumberFormat="1" applyFill="1" applyBorder="1" applyAlignment="1">
      <alignment horizontal="center" vertical="center"/>
    </xf>
    <xf numFmtId="2" fontId="0" fillId="7" borderId="18" xfId="0" applyNumberFormat="1" applyFill="1" applyBorder="1" applyAlignment="1">
      <alignment horizontal="center" vertical="center"/>
    </xf>
    <xf numFmtId="176" fontId="0" fillId="7" borderId="18" xfId="0" applyNumberFormat="1" applyFill="1" applyBorder="1" applyAlignment="1">
      <alignment horizontal="center" vertical="center"/>
    </xf>
    <xf numFmtId="1" fontId="0" fillId="7" borderId="18" xfId="0" applyNumberFormat="1" applyFill="1" applyBorder="1" applyAlignment="1">
      <alignment horizontal="center" vertical="center"/>
    </xf>
    <xf numFmtId="176" fontId="0" fillId="7" borderId="16" xfId="0" applyNumberForma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190" fontId="0" fillId="0" borderId="18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" fillId="24" borderId="35" xfId="0" applyNumberFormat="1" applyFont="1" applyFill="1" applyBorder="1" applyAlignment="1" applyProtection="1">
      <alignment horizontal="center" vertical="center"/>
      <protection locked="0"/>
    </xf>
    <xf numFmtId="0" fontId="2" fillId="16" borderId="45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right"/>
    </xf>
    <xf numFmtId="4" fontId="4" fillId="24" borderId="22" xfId="0" applyNumberFormat="1" applyFont="1" applyFill="1" applyBorder="1" applyAlignment="1" applyProtection="1">
      <alignment horizontal="center" vertical="center"/>
      <protection/>
    </xf>
    <xf numFmtId="39" fontId="0" fillId="0" borderId="18" xfId="54" applyNumberFormat="1" applyFont="1" applyBorder="1" applyAlignment="1">
      <alignment horizontal="center" vertical="center"/>
    </xf>
    <xf numFmtId="4" fontId="0" fillId="5" borderId="18" xfId="0" applyNumberFormat="1" applyFill="1" applyBorder="1" applyAlignment="1">
      <alignment/>
    </xf>
    <xf numFmtId="4" fontId="0" fillId="4" borderId="18" xfId="0" applyNumberFormat="1" applyFill="1" applyBorder="1" applyAlignment="1">
      <alignment/>
    </xf>
    <xf numFmtId="4" fontId="0" fillId="22" borderId="18" xfId="0" applyNumberFormat="1" applyFill="1" applyBorder="1" applyAlignment="1">
      <alignment/>
    </xf>
    <xf numFmtId="4" fontId="0" fillId="7" borderId="35" xfId="0" applyNumberForma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43" fontId="0" fillId="0" borderId="16" xfId="54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>
      <alignment horizontal="right"/>
    </xf>
    <xf numFmtId="2" fontId="4" fillId="24" borderId="0" xfId="54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left"/>
    </xf>
    <xf numFmtId="0" fontId="2" fillId="16" borderId="17" xfId="0" applyFont="1" applyFill="1" applyBorder="1" applyAlignment="1">
      <alignment horizontal="right"/>
    </xf>
    <xf numFmtId="0" fontId="0" fillId="0" borderId="27" xfId="0" applyFont="1" applyBorder="1" applyAlignment="1">
      <alignment horizontal="left"/>
    </xf>
    <xf numFmtId="1" fontId="0" fillId="0" borderId="18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1" fontId="4" fillId="24" borderId="0" xfId="0" applyNumberFormat="1" applyFont="1" applyFill="1" applyBorder="1" applyAlignment="1" applyProtection="1">
      <alignment/>
      <protection locked="0"/>
    </xf>
    <xf numFmtId="43" fontId="10" fillId="0" borderId="12" xfId="0" applyNumberFormat="1" applyFont="1" applyBorder="1" applyAlignment="1">
      <alignment/>
    </xf>
    <xf numFmtId="4" fontId="2" fillId="4" borderId="18" xfId="0" applyNumberFormat="1" applyFont="1" applyFill="1" applyBorder="1" applyAlignment="1">
      <alignment horizontal="center"/>
    </xf>
    <xf numFmtId="4" fontId="2" fillId="8" borderId="18" xfId="0" applyNumberFormat="1" applyFont="1" applyFill="1" applyBorder="1" applyAlignment="1">
      <alignment horizontal="center" vertical="center"/>
    </xf>
    <xf numFmtId="4" fontId="2" fillId="22" borderId="18" xfId="0" applyNumberFormat="1" applyFont="1" applyFill="1" applyBorder="1" applyAlignment="1">
      <alignment horizontal="center" vertical="center"/>
    </xf>
    <xf numFmtId="4" fontId="2" fillId="7" borderId="18" xfId="0" applyNumberFormat="1" applyFont="1" applyFill="1" applyBorder="1" applyAlignment="1">
      <alignment horizontal="center" vertical="center"/>
    </xf>
    <xf numFmtId="4" fontId="2" fillId="5" borderId="18" xfId="0" applyNumberFormat="1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176" fontId="15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43" fontId="4" fillId="25" borderId="0" xfId="54" applyFont="1" applyFill="1" applyBorder="1" applyAlignment="1" applyProtection="1">
      <alignment/>
      <protection/>
    </xf>
    <xf numFmtId="1" fontId="15" fillId="0" borderId="0" xfId="0" applyNumberFormat="1" applyFont="1" applyFill="1" applyBorder="1" applyAlignment="1" applyProtection="1">
      <alignment/>
      <protection/>
    </xf>
    <xf numFmtId="0" fontId="14" fillId="24" borderId="18" xfId="50" applyFont="1" applyFill="1" applyBorder="1" applyAlignment="1" applyProtection="1">
      <alignment vertical="distributed" wrapText="1"/>
      <protection locked="0"/>
    </xf>
    <xf numFmtId="0" fontId="14" fillId="24" borderId="18" xfId="50" applyFont="1" applyFill="1" applyBorder="1" applyAlignment="1" applyProtection="1">
      <alignment horizontal="center" vertical="distributed"/>
      <protection locked="0"/>
    </xf>
    <xf numFmtId="0" fontId="0" fillId="0" borderId="0" xfId="0" applyAlignment="1" applyProtection="1">
      <alignment/>
      <protection/>
    </xf>
    <xf numFmtId="0" fontId="14" fillId="0" borderId="18" xfId="50" applyFont="1" applyBorder="1" applyAlignment="1" applyProtection="1">
      <alignment horizontal="center" vertical="distributed"/>
      <protection/>
    </xf>
    <xf numFmtId="4" fontId="14" fillId="0" borderId="18" xfId="50" applyNumberFormat="1" applyFont="1" applyBorder="1" applyAlignment="1" applyProtection="1">
      <alignment horizontal="center" vertical="distributed"/>
      <protection/>
    </xf>
    <xf numFmtId="0" fontId="14" fillId="0" borderId="18" xfId="50" applyFont="1" applyBorder="1" applyAlignment="1" applyProtection="1">
      <alignment vertical="distributed" wrapText="1"/>
      <protection/>
    </xf>
    <xf numFmtId="43" fontId="0" fillId="0" borderId="0" xfId="54" applyFont="1" applyAlignment="1" applyProtection="1">
      <alignment/>
      <protection/>
    </xf>
    <xf numFmtId="206" fontId="13" fillId="27" borderId="18" xfId="47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4" fillId="24" borderId="18" xfId="50" applyNumberFormat="1" applyFont="1" applyFill="1" applyBorder="1" applyAlignment="1" applyProtection="1">
      <alignment horizontal="center" vertical="distributed"/>
      <protection locked="0"/>
    </xf>
    <xf numFmtId="0" fontId="13" fillId="11" borderId="18" xfId="50" applyFont="1" applyFill="1" applyBorder="1" applyAlignment="1" applyProtection="1">
      <alignment horizontal="center"/>
      <protection/>
    </xf>
    <xf numFmtId="0" fontId="14" fillId="0" borderId="18" xfId="50" applyFont="1" applyBorder="1" applyAlignment="1" applyProtection="1">
      <alignment horizontal="justify" vertical="justify" wrapText="1"/>
      <protection/>
    </xf>
    <xf numFmtId="0" fontId="2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43" fontId="2" fillId="16" borderId="23" xfId="0" applyNumberFormat="1" applyFont="1" applyFill="1" applyBorder="1" applyAlignment="1">
      <alignment/>
    </xf>
    <xf numFmtId="43" fontId="0" fillId="5" borderId="16" xfId="54" applyFill="1" applyBorder="1" applyAlignment="1">
      <alignment/>
    </xf>
    <xf numFmtId="3" fontId="0" fillId="8" borderId="18" xfId="0" applyNumberFormat="1" applyFill="1" applyBorder="1" applyAlignment="1">
      <alignment/>
    </xf>
    <xf numFmtId="43" fontId="0" fillId="8" borderId="16" xfId="54" applyFill="1" applyBorder="1" applyAlignment="1">
      <alignment/>
    </xf>
    <xf numFmtId="43" fontId="0" fillId="4" borderId="16" xfId="54" applyFill="1" applyBorder="1" applyAlignment="1">
      <alignment/>
    </xf>
    <xf numFmtId="43" fontId="0" fillId="22" borderId="16" xfId="54" applyFill="1" applyBorder="1" applyAlignment="1">
      <alignment/>
    </xf>
    <xf numFmtId="43" fontId="0" fillId="0" borderId="0" xfId="54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14" fillId="0" borderId="18" xfId="50" applyFont="1" applyBorder="1" applyAlignment="1" applyProtection="1">
      <alignment horizontal="justify" wrapText="1"/>
      <protection/>
    </xf>
    <xf numFmtId="0" fontId="2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25" borderId="13" xfId="0" applyFill="1" applyBorder="1" applyAlignment="1">
      <alignment/>
    </xf>
    <xf numFmtId="0" fontId="3" fillId="25" borderId="10" xfId="0" applyFont="1" applyFill="1" applyBorder="1" applyAlignment="1">
      <alignment horizontal="right"/>
    </xf>
    <xf numFmtId="0" fontId="0" fillId="25" borderId="10" xfId="0" applyFill="1" applyBorder="1" applyAlignment="1">
      <alignment/>
    </xf>
    <xf numFmtId="0" fontId="0" fillId="25" borderId="14" xfId="0" applyFill="1" applyBorder="1" applyAlignment="1">
      <alignment/>
    </xf>
    <xf numFmtId="43" fontId="0" fillId="0" borderId="12" xfId="54" applyFont="1" applyFill="1" applyBorder="1" applyAlignment="1">
      <alignment horizontal="center"/>
    </xf>
    <xf numFmtId="0" fontId="0" fillId="25" borderId="0" xfId="0" applyFont="1" applyFill="1" applyBorder="1" applyAlignment="1">
      <alignment horizontal="right"/>
    </xf>
    <xf numFmtId="0" fontId="0" fillId="0" borderId="46" xfId="0" applyFont="1" applyBorder="1" applyAlignment="1">
      <alignment horizontal="center"/>
    </xf>
    <xf numFmtId="43" fontId="0" fillId="0" borderId="47" xfId="54" applyFont="1" applyFill="1" applyBorder="1" applyAlignment="1">
      <alignment horizontal="center"/>
    </xf>
    <xf numFmtId="0" fontId="2" fillId="16" borderId="48" xfId="0" applyFont="1" applyFill="1" applyBorder="1" applyAlignment="1">
      <alignment horizontal="right"/>
    </xf>
    <xf numFmtId="0" fontId="2" fillId="16" borderId="49" xfId="0" applyFont="1" applyFill="1" applyBorder="1" applyAlignment="1">
      <alignment horizontal="right"/>
    </xf>
    <xf numFmtId="0" fontId="2" fillId="16" borderId="18" xfId="0" applyFont="1" applyFill="1" applyBorder="1" applyAlignment="1">
      <alignment horizontal="center" vertical="center" wrapText="1"/>
    </xf>
    <xf numFmtId="4" fontId="0" fillId="7" borderId="18" xfId="0" applyNumberFormat="1" applyFill="1" applyBorder="1" applyAlignment="1">
      <alignment/>
    </xf>
    <xf numFmtId="0" fontId="2" fillId="16" borderId="16" xfId="0" applyFont="1" applyFill="1" applyBorder="1" applyAlignment="1">
      <alignment horizontal="center" vertical="center" wrapText="1"/>
    </xf>
    <xf numFmtId="43" fontId="0" fillId="7" borderId="15" xfId="0" applyNumberFormat="1" applyFill="1" applyBorder="1" applyAlignment="1">
      <alignment/>
    </xf>
    <xf numFmtId="43" fontId="0" fillId="7" borderId="16" xfId="54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3" fontId="2" fillId="16" borderId="40" xfId="54" applyFont="1" applyFill="1" applyBorder="1" applyAlignment="1">
      <alignment/>
    </xf>
    <xf numFmtId="43" fontId="0" fillId="25" borderId="16" xfId="54" applyFont="1" applyFill="1" applyBorder="1" applyAlignment="1">
      <alignment/>
    </xf>
    <xf numFmtId="43" fontId="0" fillId="25" borderId="16" xfId="54" applyFill="1" applyBorder="1" applyAlignment="1">
      <alignment/>
    </xf>
    <xf numFmtId="39" fontId="0" fillId="0" borderId="35" xfId="54" applyNumberFormat="1" applyFont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" fontId="2" fillId="16" borderId="50" xfId="0" applyNumberFormat="1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43" fontId="0" fillId="0" borderId="0" xfId="54" applyFont="1" applyFill="1" applyBorder="1" applyAlignment="1">
      <alignment horizontal="center" vertical="center"/>
    </xf>
    <xf numFmtId="43" fontId="2" fillId="16" borderId="48" xfId="0" applyNumberFormat="1" applyFont="1" applyFill="1" applyBorder="1" applyAlignment="1">
      <alignment horizontal="right"/>
    </xf>
    <xf numFmtId="43" fontId="2" fillId="16" borderId="42" xfId="54" applyFont="1" applyFill="1" applyBorder="1" applyAlignment="1">
      <alignment/>
    </xf>
    <xf numFmtId="43" fontId="2" fillId="16" borderId="51" xfId="54" applyFont="1" applyFill="1" applyBorder="1" applyAlignment="1">
      <alignment/>
    </xf>
    <xf numFmtId="43" fontId="2" fillId="16" borderId="52" xfId="0" applyNumberFormat="1" applyFont="1" applyFill="1" applyBorder="1" applyAlignment="1">
      <alignment horizontal="right"/>
    </xf>
    <xf numFmtId="43" fontId="0" fillId="7" borderId="16" xfId="0" applyNumberForma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3" fontId="0" fillId="0" borderId="18" xfId="0" applyNumberFormat="1" applyFill="1" applyBorder="1" applyAlignment="1" applyProtection="1">
      <alignment horizontal="center" vertical="center"/>
      <protection locked="0"/>
    </xf>
    <xf numFmtId="3" fontId="0" fillId="24" borderId="18" xfId="0" applyNumberFormat="1" applyFill="1" applyBorder="1" applyAlignment="1" applyProtection="1">
      <alignment horizontal="center" vertical="center"/>
      <protection locked="0"/>
    </xf>
    <xf numFmtId="3" fontId="0" fillId="24" borderId="31" xfId="0" applyNumberFormat="1" applyFill="1" applyBorder="1" applyAlignment="1" applyProtection="1">
      <alignment horizontal="center" vertical="center"/>
      <protection locked="0"/>
    </xf>
    <xf numFmtId="4" fontId="4" fillId="24" borderId="18" xfId="0" applyNumberFormat="1" applyFont="1" applyFill="1" applyBorder="1" applyAlignment="1" applyProtection="1">
      <alignment horizontal="center" vertical="center"/>
      <protection/>
    </xf>
    <xf numFmtId="1" fontId="0" fillId="24" borderId="35" xfId="0" applyNumberFormat="1" applyFill="1" applyBorder="1" applyAlignment="1" applyProtection="1">
      <alignment horizontal="center" vertical="center"/>
      <protection locked="0"/>
    </xf>
    <xf numFmtId="0" fontId="2" fillId="8" borderId="55" xfId="0" applyFont="1" applyFill="1" applyBorder="1" applyAlignment="1">
      <alignment horizontal="center"/>
    </xf>
    <xf numFmtId="0" fontId="2" fillId="8" borderId="56" xfId="0" applyFont="1" applyFill="1" applyBorder="1" applyAlignment="1">
      <alignment horizontal="center"/>
    </xf>
    <xf numFmtId="0" fontId="2" fillId="8" borderId="57" xfId="0" applyFont="1" applyFill="1" applyBorder="1" applyAlignment="1">
      <alignment horizontal="center"/>
    </xf>
    <xf numFmtId="0" fontId="0" fillId="24" borderId="0" xfId="0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8" xfId="0" applyFont="1" applyBorder="1" applyAlignment="1">
      <alignment horizontal="left"/>
    </xf>
    <xf numFmtId="0" fontId="2" fillId="8" borderId="46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47" xfId="0" applyBorder="1" applyAlignment="1">
      <alignment/>
    </xf>
    <xf numFmtId="0" fontId="0" fillId="16" borderId="17" xfId="0" applyFill="1" applyBorder="1" applyAlignment="1">
      <alignment horizontal="center"/>
    </xf>
    <xf numFmtId="0" fontId="2" fillId="8" borderId="48" xfId="0" applyFont="1" applyFill="1" applyBorder="1" applyAlignment="1">
      <alignment horizontal="center"/>
    </xf>
    <xf numFmtId="0" fontId="2" fillId="8" borderId="52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0" fontId="0" fillId="24" borderId="10" xfId="0" applyFill="1" applyBorder="1" applyAlignment="1" applyProtection="1">
      <alignment horizontal="left"/>
      <protection locked="0"/>
    </xf>
    <xf numFmtId="0" fontId="0" fillId="16" borderId="52" xfId="0" applyFill="1" applyBorder="1" applyAlignment="1">
      <alignment horizontal="center"/>
    </xf>
    <xf numFmtId="0" fontId="0" fillId="24" borderId="12" xfId="0" applyFill="1" applyBorder="1" applyAlignment="1">
      <alignment horizontal="left"/>
    </xf>
    <xf numFmtId="0" fontId="0" fillId="16" borderId="48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2" fillId="16" borderId="55" xfId="0" applyFont="1" applyFill="1" applyBorder="1" applyAlignment="1">
      <alignment horizontal="left" vertical="center"/>
    </xf>
    <xf numFmtId="0" fontId="2" fillId="16" borderId="54" xfId="0" applyFont="1" applyFill="1" applyBorder="1" applyAlignment="1">
      <alignment horizontal="left" vertical="center"/>
    </xf>
    <xf numFmtId="0" fontId="2" fillId="16" borderId="48" xfId="0" applyFont="1" applyFill="1" applyBorder="1" applyAlignment="1">
      <alignment horizontal="right"/>
    </xf>
    <xf numFmtId="0" fontId="2" fillId="16" borderId="52" xfId="0" applyFont="1" applyFill="1" applyBorder="1" applyAlignment="1">
      <alignment horizontal="right"/>
    </xf>
    <xf numFmtId="0" fontId="2" fillId="16" borderId="17" xfId="0" applyFont="1" applyFill="1" applyBorder="1" applyAlignment="1">
      <alignment horizontal="right"/>
    </xf>
    <xf numFmtId="1" fontId="0" fillId="24" borderId="35" xfId="0" applyNumberFormat="1" applyFill="1" applyBorder="1" applyAlignment="1" applyProtection="1">
      <alignment horizontal="center" vertical="center"/>
      <protection locked="0"/>
    </xf>
    <xf numFmtId="1" fontId="0" fillId="24" borderId="59" xfId="0" applyNumberFormat="1" applyFill="1" applyBorder="1" applyAlignment="1" applyProtection="1">
      <alignment horizontal="center" vertical="center"/>
      <protection locked="0"/>
    </xf>
    <xf numFmtId="1" fontId="0" fillId="24" borderId="24" xfId="0" applyNumberFormat="1" applyFill="1" applyBorder="1" applyAlignment="1" applyProtection="1">
      <alignment horizontal="center" vertical="center"/>
      <protection locked="0"/>
    </xf>
    <xf numFmtId="0" fontId="2" fillId="22" borderId="36" xfId="0" applyFont="1" applyFill="1" applyBorder="1" applyAlignment="1">
      <alignment horizontal="left" vertical="center" wrapText="1"/>
    </xf>
    <xf numFmtId="0" fontId="2" fillId="22" borderId="22" xfId="0" applyFont="1" applyFill="1" applyBorder="1" applyAlignment="1">
      <alignment horizontal="left" vertical="center" wrapText="1"/>
    </xf>
    <xf numFmtId="0" fontId="2" fillId="7" borderId="36" xfId="0" applyFont="1" applyFill="1" applyBorder="1" applyAlignment="1">
      <alignment horizontal="left" vertical="center" wrapText="1"/>
    </xf>
    <xf numFmtId="0" fontId="2" fillId="7" borderId="2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24" borderId="0" xfId="0" applyFill="1" applyBorder="1" applyAlignment="1" applyProtection="1">
      <alignment horizontal="left"/>
      <protection locked="0"/>
    </xf>
    <xf numFmtId="0" fontId="0" fillId="24" borderId="12" xfId="0" applyFill="1" applyBorder="1" applyAlignment="1" applyProtection="1">
      <alignment horizontal="left"/>
      <protection locked="0"/>
    </xf>
    <xf numFmtId="0" fontId="0" fillId="24" borderId="0" xfId="0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3" fillId="22" borderId="0" xfId="0" applyFont="1" applyFill="1" applyBorder="1" applyAlignment="1">
      <alignment horizontal="right"/>
    </xf>
    <xf numFmtId="0" fontId="0" fillId="25" borderId="0" xfId="0" applyFont="1" applyFill="1" applyBorder="1" applyAlignment="1">
      <alignment horizontal="right"/>
    </xf>
    <xf numFmtId="0" fontId="2" fillId="8" borderId="0" xfId="0" applyFont="1" applyFill="1" applyBorder="1" applyAlignment="1">
      <alignment horizontal="center"/>
    </xf>
    <xf numFmtId="0" fontId="2" fillId="8" borderId="58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24" borderId="33" xfId="0" applyFont="1" applyFill="1" applyBorder="1" applyAlignment="1" applyProtection="1">
      <alignment horizontal="left"/>
      <protection locked="0"/>
    </xf>
    <xf numFmtId="0" fontId="2" fillId="17" borderId="46" xfId="0" applyFont="1" applyFill="1" applyBorder="1" applyAlignment="1">
      <alignment horizontal="center"/>
    </xf>
    <xf numFmtId="0" fontId="2" fillId="17" borderId="58" xfId="0" applyFont="1" applyFill="1" applyBorder="1" applyAlignment="1">
      <alignment horizontal="center"/>
    </xf>
    <xf numFmtId="0" fontId="2" fillId="17" borderId="4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left"/>
    </xf>
    <xf numFmtId="0" fontId="2" fillId="16" borderId="53" xfId="0" applyFont="1" applyFill="1" applyBorder="1" applyAlignment="1">
      <alignment horizontal="center"/>
    </xf>
    <xf numFmtId="0" fontId="2" fillId="16" borderId="54" xfId="0" applyFont="1" applyFill="1" applyBorder="1" applyAlignment="1">
      <alignment horizontal="center"/>
    </xf>
    <xf numFmtId="0" fontId="2" fillId="16" borderId="55" xfId="0" applyFont="1" applyFill="1" applyBorder="1" applyAlignment="1">
      <alignment horizontal="center"/>
    </xf>
    <xf numFmtId="0" fontId="2" fillId="16" borderId="56" xfId="0" applyFont="1" applyFill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25" borderId="60" xfId="0" applyFont="1" applyFill="1" applyBorder="1" applyAlignment="1">
      <alignment horizontal="right"/>
    </xf>
    <xf numFmtId="0" fontId="2" fillId="16" borderId="61" xfId="0" applyFont="1" applyFill="1" applyBorder="1" applyAlignment="1">
      <alignment horizontal="right"/>
    </xf>
    <xf numFmtId="0" fontId="2" fillId="16" borderId="62" xfId="0" applyFont="1" applyFill="1" applyBorder="1" applyAlignment="1">
      <alignment horizontal="right"/>
    </xf>
    <xf numFmtId="0" fontId="2" fillId="8" borderId="47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0" xfId="0" applyFont="1" applyFill="1" applyBorder="1" applyAlignment="1">
      <alignment horizontal="center"/>
    </xf>
    <xf numFmtId="0" fontId="2" fillId="16" borderId="36" xfId="0" applyFont="1" applyFill="1" applyBorder="1" applyAlignment="1">
      <alignment horizontal="center"/>
    </xf>
    <xf numFmtId="0" fontId="2" fillId="16" borderId="22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2" fillId="26" borderId="12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16" borderId="21" xfId="0" applyFont="1" applyFill="1" applyBorder="1" applyAlignment="1">
      <alignment horizontal="center"/>
    </xf>
    <xf numFmtId="0" fontId="2" fillId="16" borderId="36" xfId="0" applyFont="1" applyFill="1" applyBorder="1" applyAlignment="1">
      <alignment horizontal="right"/>
    </xf>
    <xf numFmtId="0" fontId="2" fillId="16" borderId="22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2" fillId="26" borderId="60" xfId="0" applyFont="1" applyFill="1" applyBorder="1" applyAlignment="1">
      <alignment horizontal="center"/>
    </xf>
    <xf numFmtId="0" fontId="2" fillId="26" borderId="34" xfId="0" applyFont="1" applyFill="1" applyBorder="1" applyAlignment="1">
      <alignment horizontal="center"/>
    </xf>
    <xf numFmtId="0" fontId="4" fillId="26" borderId="39" xfId="0" applyFont="1" applyFill="1" applyBorder="1" applyAlignment="1">
      <alignment horizontal="right" wrapText="1"/>
    </xf>
    <xf numFmtId="0" fontId="4" fillId="26" borderId="30" xfId="0" applyFont="1" applyFill="1" applyBorder="1" applyAlignment="1">
      <alignment horizontal="right" wrapText="1"/>
    </xf>
    <xf numFmtId="0" fontId="4" fillId="0" borderId="63" xfId="0" applyFont="1" applyFill="1" applyBorder="1" applyAlignment="1">
      <alignment horizontal="right" wrapText="1"/>
    </xf>
    <xf numFmtId="0" fontId="4" fillId="0" borderId="28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2" fillId="16" borderId="21" xfId="0" applyFont="1" applyFill="1" applyBorder="1" applyAlignment="1">
      <alignment horizontal="right"/>
    </xf>
    <xf numFmtId="0" fontId="0" fillId="26" borderId="27" xfId="0" applyFont="1" applyFill="1" applyBorder="1" applyAlignment="1">
      <alignment horizontal="justify" vertical="center" wrapText="1"/>
    </xf>
    <xf numFmtId="0" fontId="0" fillId="26" borderId="22" xfId="0" applyFont="1" applyFill="1" applyBorder="1" applyAlignment="1">
      <alignment horizontal="justify" vertical="center" wrapText="1"/>
    </xf>
    <xf numFmtId="0" fontId="2" fillId="22" borderId="64" xfId="0" applyFont="1" applyFill="1" applyBorder="1" applyAlignment="1">
      <alignment horizontal="center"/>
    </xf>
    <xf numFmtId="0" fontId="2" fillId="22" borderId="60" xfId="0" applyFont="1" applyFill="1" applyBorder="1" applyAlignment="1">
      <alignment horizontal="center"/>
    </xf>
    <xf numFmtId="0" fontId="2" fillId="16" borderId="49" xfId="0" applyFont="1" applyFill="1" applyBorder="1" applyAlignment="1">
      <alignment horizontal="right"/>
    </xf>
    <xf numFmtId="0" fontId="2" fillId="17" borderId="11" xfId="0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/>
    </xf>
    <xf numFmtId="0" fontId="2" fillId="16" borderId="27" xfId="0" applyFont="1" applyFill="1" applyBorder="1" applyAlignment="1">
      <alignment horizontal="left"/>
    </xf>
    <xf numFmtId="0" fontId="2" fillId="16" borderId="22" xfId="0" applyFont="1" applyFill="1" applyBorder="1" applyAlignment="1">
      <alignment horizontal="left"/>
    </xf>
    <xf numFmtId="0" fontId="0" fillId="0" borderId="27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2" fillId="26" borderId="15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11" borderId="36" xfId="0" applyFont="1" applyFill="1" applyBorder="1" applyAlignment="1">
      <alignment horizontal="center"/>
    </xf>
    <xf numFmtId="0" fontId="2" fillId="11" borderId="21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2" fillId="16" borderId="36" xfId="0" applyFont="1" applyFill="1" applyBorder="1" applyAlignment="1" applyProtection="1">
      <alignment horizontal="right" vertical="center"/>
      <protection/>
    </xf>
    <xf numFmtId="0" fontId="2" fillId="16" borderId="22" xfId="0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43" fontId="0" fillId="0" borderId="35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3" fontId="0" fillId="0" borderId="42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" fillId="7" borderId="55" xfId="0" applyFont="1" applyFill="1" applyBorder="1" applyAlignment="1">
      <alignment horizontal="left"/>
    </xf>
    <xf numFmtId="0" fontId="2" fillId="7" borderId="56" xfId="0" applyFont="1" applyFill="1" applyBorder="1" applyAlignment="1">
      <alignment horizontal="left"/>
    </xf>
    <xf numFmtId="0" fontId="2" fillId="7" borderId="57" xfId="0" applyFont="1" applyFill="1" applyBorder="1" applyAlignment="1">
      <alignment horizontal="left"/>
    </xf>
    <xf numFmtId="0" fontId="2" fillId="4" borderId="55" xfId="0" applyFont="1" applyFill="1" applyBorder="1" applyAlignment="1">
      <alignment horizontal="left"/>
    </xf>
    <xf numFmtId="0" fontId="2" fillId="4" borderId="56" xfId="0" applyFont="1" applyFill="1" applyBorder="1" applyAlignment="1">
      <alignment horizontal="left"/>
    </xf>
    <xf numFmtId="0" fontId="2" fillId="4" borderId="57" xfId="0" applyFont="1" applyFill="1" applyBorder="1" applyAlignment="1">
      <alignment horizontal="left"/>
    </xf>
    <xf numFmtId="0" fontId="0" fillId="0" borderId="3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90" fontId="0" fillId="0" borderId="18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0" fontId="2" fillId="22" borderId="55" xfId="0" applyFont="1" applyFill="1" applyBorder="1" applyAlignment="1">
      <alignment horizontal="left"/>
    </xf>
    <xf numFmtId="0" fontId="2" fillId="22" borderId="56" xfId="0" applyFont="1" applyFill="1" applyBorder="1" applyAlignment="1">
      <alignment horizontal="left"/>
    </xf>
    <xf numFmtId="0" fontId="2" fillId="22" borderId="57" xfId="0" applyFont="1" applyFill="1" applyBorder="1" applyAlignment="1">
      <alignment horizontal="left"/>
    </xf>
    <xf numFmtId="0" fontId="0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8" borderId="55" xfId="0" applyFont="1" applyFill="1" applyBorder="1" applyAlignment="1">
      <alignment horizontal="left"/>
    </xf>
    <xf numFmtId="0" fontId="2" fillId="8" borderId="56" xfId="0" applyFont="1" applyFill="1" applyBorder="1" applyAlignment="1">
      <alignment horizontal="left"/>
    </xf>
    <xf numFmtId="0" fontId="2" fillId="8" borderId="57" xfId="0" applyFont="1" applyFill="1" applyBorder="1" applyAlignment="1">
      <alignment horizontal="left"/>
    </xf>
    <xf numFmtId="43" fontId="0" fillId="0" borderId="25" xfId="0" applyNumberFormat="1" applyFont="1" applyBorder="1" applyAlignment="1">
      <alignment vertical="center"/>
    </xf>
    <xf numFmtId="0" fontId="2" fillId="7" borderId="48" xfId="0" applyFont="1" applyFill="1" applyBorder="1" applyAlignment="1">
      <alignment horizontal="center"/>
    </xf>
    <xf numFmtId="0" fontId="2" fillId="7" borderId="52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left"/>
    </xf>
    <xf numFmtId="0" fontId="2" fillId="5" borderId="56" xfId="0" applyFont="1" applyFill="1" applyBorder="1" applyAlignment="1">
      <alignment horizontal="left"/>
    </xf>
    <xf numFmtId="0" fontId="2" fillId="5" borderId="57" xfId="0" applyFont="1" applyFill="1" applyBorder="1" applyAlignment="1">
      <alignment horizontal="left"/>
    </xf>
    <xf numFmtId="0" fontId="2" fillId="11" borderId="48" xfId="0" applyFont="1" applyFill="1" applyBorder="1" applyAlignment="1">
      <alignment horizontal="center"/>
    </xf>
    <xf numFmtId="0" fontId="2" fillId="11" borderId="52" xfId="0" applyFont="1" applyFill="1" applyBorder="1" applyAlignment="1">
      <alignment horizontal="center"/>
    </xf>
    <xf numFmtId="0" fontId="2" fillId="11" borderId="17" xfId="0" applyFont="1" applyFill="1" applyBorder="1" applyAlignment="1">
      <alignment horizontal="center"/>
    </xf>
    <xf numFmtId="0" fontId="2" fillId="0" borderId="61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0" fontId="2" fillId="26" borderId="48" xfId="0" applyFont="1" applyFill="1" applyBorder="1" applyAlignment="1">
      <alignment horizontal="center"/>
    </xf>
    <xf numFmtId="0" fontId="2" fillId="26" borderId="52" xfId="0" applyFont="1" applyFill="1" applyBorder="1" applyAlignment="1">
      <alignment horizontal="center"/>
    </xf>
    <xf numFmtId="0" fontId="2" fillId="26" borderId="17" xfId="0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11" borderId="55" xfId="0" applyFont="1" applyFill="1" applyBorder="1" applyAlignment="1">
      <alignment horizontal="center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2" fillId="7" borderId="55" xfId="0" applyFont="1" applyFill="1" applyBorder="1" applyAlignment="1">
      <alignment horizontal="center"/>
    </xf>
    <xf numFmtId="0" fontId="2" fillId="7" borderId="56" xfId="0" applyFont="1" applyFill="1" applyBorder="1" applyAlignment="1">
      <alignment horizontal="center"/>
    </xf>
    <xf numFmtId="0" fontId="2" fillId="7" borderId="57" xfId="0" applyFont="1" applyFill="1" applyBorder="1" applyAlignment="1">
      <alignment horizontal="center"/>
    </xf>
    <xf numFmtId="0" fontId="2" fillId="26" borderId="55" xfId="0" applyFont="1" applyFill="1" applyBorder="1" applyAlignment="1">
      <alignment horizontal="center"/>
    </xf>
    <xf numFmtId="0" fontId="2" fillId="26" borderId="56" xfId="0" applyFont="1" applyFill="1" applyBorder="1" applyAlignment="1">
      <alignment horizontal="center"/>
    </xf>
    <xf numFmtId="0" fontId="2" fillId="26" borderId="57" xfId="0" applyFont="1" applyFill="1" applyBorder="1" applyAlignment="1">
      <alignment horizontal="center"/>
    </xf>
    <xf numFmtId="0" fontId="2" fillId="16" borderId="48" xfId="0" applyFont="1" applyFill="1" applyBorder="1" applyAlignment="1">
      <alignment horizontal="right" vertical="center"/>
    </xf>
    <xf numFmtId="0" fontId="2" fillId="16" borderId="52" xfId="0" applyFont="1" applyFill="1" applyBorder="1" applyAlignment="1">
      <alignment horizontal="right" vertical="center"/>
    </xf>
    <xf numFmtId="0" fontId="2" fillId="16" borderId="66" xfId="0" applyFont="1" applyFill="1" applyBorder="1" applyAlignment="1">
      <alignment horizontal="right" vertical="center"/>
    </xf>
    <xf numFmtId="0" fontId="2" fillId="16" borderId="31" xfId="0" applyFont="1" applyFill="1" applyBorder="1" applyAlignment="1">
      <alignment horizontal="right" vertical="center"/>
    </xf>
    <xf numFmtId="0" fontId="0" fillId="25" borderId="15" xfId="0" applyFont="1" applyFill="1" applyBorder="1" applyAlignment="1">
      <alignment horizontal="right" vertical="center"/>
    </xf>
    <xf numFmtId="0" fontId="0" fillId="25" borderId="18" xfId="0" applyFont="1" applyFill="1" applyBorder="1" applyAlignment="1">
      <alignment horizontal="right" vertical="center"/>
    </xf>
    <xf numFmtId="0" fontId="2" fillId="16" borderId="43" xfId="0" applyFont="1" applyFill="1" applyBorder="1" applyAlignment="1">
      <alignment horizontal="right" vertical="center"/>
    </xf>
    <xf numFmtId="0" fontId="2" fillId="16" borderId="35" xfId="0" applyFont="1" applyFill="1" applyBorder="1" applyAlignment="1">
      <alignment horizontal="right" vertical="center"/>
    </xf>
    <xf numFmtId="43" fontId="0" fillId="0" borderId="36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43" fontId="2" fillId="16" borderId="61" xfId="0" applyNumberFormat="1" applyFont="1" applyFill="1" applyBorder="1" applyAlignment="1">
      <alignment horizontal="right"/>
    </xf>
    <xf numFmtId="43" fontId="2" fillId="16" borderId="6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16" borderId="68" xfId="0" applyFont="1" applyFill="1" applyBorder="1" applyAlignment="1">
      <alignment horizontal="right" vertical="center"/>
    </xf>
    <xf numFmtId="43" fontId="0" fillId="0" borderId="0" xfId="54" applyFont="1" applyFill="1" applyBorder="1" applyAlignment="1">
      <alignment horizontal="center" vertical="center"/>
    </xf>
    <xf numFmtId="43" fontId="0" fillId="0" borderId="0" xfId="0" applyNumberForma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right"/>
    </xf>
    <xf numFmtId="43" fontId="0" fillId="0" borderId="36" xfId="0" applyNumberFormat="1" applyFill="1" applyBorder="1" applyAlignment="1">
      <alignment horizontal="right"/>
    </xf>
    <xf numFmtId="43" fontId="0" fillId="0" borderId="22" xfId="0" applyNumberFormat="1" applyFill="1" applyBorder="1" applyAlignment="1">
      <alignment horizontal="right"/>
    </xf>
    <xf numFmtId="0" fontId="14" fillId="0" borderId="27" xfId="50" applyFont="1" applyBorder="1" applyAlignment="1" applyProtection="1">
      <alignment horizontal="center"/>
      <protection/>
    </xf>
    <xf numFmtId="0" fontId="14" fillId="0" borderId="21" xfId="50" applyFont="1" applyBorder="1" applyAlignment="1" applyProtection="1">
      <alignment horizontal="center"/>
      <protection/>
    </xf>
    <xf numFmtId="0" fontId="14" fillId="0" borderId="22" xfId="50" applyFont="1" applyBorder="1" applyAlignment="1" applyProtection="1">
      <alignment horizontal="center"/>
      <protection/>
    </xf>
    <xf numFmtId="0" fontId="13" fillId="27" borderId="27" xfId="50" applyFont="1" applyFill="1" applyBorder="1" applyAlignment="1" applyProtection="1">
      <alignment horizontal="center"/>
      <protection/>
    </xf>
    <xf numFmtId="0" fontId="13" fillId="27" borderId="21" xfId="50" applyFont="1" applyFill="1" applyBorder="1" applyAlignment="1" applyProtection="1">
      <alignment horizontal="center"/>
      <protection/>
    </xf>
    <xf numFmtId="0" fontId="13" fillId="27" borderId="22" xfId="50" applyFont="1" applyFill="1" applyBorder="1" applyAlignment="1" applyProtection="1">
      <alignment horizontal="center"/>
      <protection/>
    </xf>
    <xf numFmtId="0" fontId="13" fillId="21" borderId="18" xfId="50" applyFont="1" applyFill="1" applyBorder="1" applyAlignment="1" applyProtection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LISTA DE MATERIAL-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0"/>
  <sheetViews>
    <sheetView showGridLines="0" tabSelected="1" zoomScalePageLayoutView="0" workbookViewId="0" topLeftCell="A1">
      <selection activeCell="F10" sqref="F10"/>
    </sheetView>
  </sheetViews>
  <sheetFormatPr defaultColWidth="9.140625" defaultRowHeight="12.75"/>
  <cols>
    <col min="1" max="1" width="2.28125" style="0" customWidth="1"/>
    <col min="2" max="2" width="3.28125" style="0" customWidth="1"/>
    <col min="3" max="3" width="37.8515625" style="0" customWidth="1"/>
    <col min="4" max="4" width="13.421875" style="0" customWidth="1"/>
    <col min="5" max="5" width="12.00390625" style="0" customWidth="1"/>
    <col min="6" max="6" width="14.8515625" style="0" customWidth="1"/>
    <col min="7" max="7" width="11.28125" style="0" customWidth="1"/>
    <col min="8" max="8" width="14.57421875" style="0" customWidth="1"/>
    <col min="9" max="9" width="13.28125" style="0" customWidth="1"/>
    <col min="10" max="10" width="15.00390625" style="0" customWidth="1"/>
  </cols>
  <sheetData>
    <row r="1" spans="2:10" ht="40.5" customHeight="1">
      <c r="B1" s="396" t="s">
        <v>180</v>
      </c>
      <c r="C1" s="397"/>
      <c r="D1" s="270" t="s">
        <v>181</v>
      </c>
      <c r="E1" s="270" t="s">
        <v>182</v>
      </c>
      <c r="F1" s="270" t="s">
        <v>236</v>
      </c>
      <c r="G1" s="270" t="s">
        <v>183</v>
      </c>
      <c r="H1" s="270" t="s">
        <v>184</v>
      </c>
      <c r="I1" s="270" t="s">
        <v>185</v>
      </c>
      <c r="J1" s="271" t="s">
        <v>186</v>
      </c>
    </row>
    <row r="2" spans="2:10" ht="12.75">
      <c r="B2" s="236" t="s">
        <v>187</v>
      </c>
      <c r="C2" s="202"/>
      <c r="D2" s="298">
        <v>600</v>
      </c>
      <c r="E2" s="238"/>
      <c r="F2" s="297">
        <f>SUM(F3:F8)</f>
        <v>12466.424666666666</v>
      </c>
      <c r="G2" s="239"/>
      <c r="H2" s="237"/>
      <c r="I2" s="237"/>
      <c r="J2" s="240"/>
    </row>
    <row r="3" spans="2:10" ht="12.75">
      <c r="B3" s="227"/>
      <c r="C3" s="228" t="s">
        <v>188</v>
      </c>
      <c r="D3" s="372">
        <v>600</v>
      </c>
      <c r="E3" s="374">
        <v>247.8</v>
      </c>
      <c r="F3" s="274">
        <f>$D$2/D3*E3</f>
        <v>247.8</v>
      </c>
      <c r="G3" s="230" t="s">
        <v>189</v>
      </c>
      <c r="H3" s="231">
        <f aca="true" t="shared" si="0" ref="H3:H8">E3/D3</f>
        <v>0.41300000000000003</v>
      </c>
      <c r="I3" s="401">
        <v>18</v>
      </c>
      <c r="J3" s="232">
        <f aca="true" t="shared" si="1" ref="J3:J8">H3/$I$3</f>
        <v>0.022944444444444448</v>
      </c>
    </row>
    <row r="4" spans="2:10" ht="12.75">
      <c r="B4" s="227"/>
      <c r="C4" s="228" t="s">
        <v>190</v>
      </c>
      <c r="D4" s="372">
        <v>1000</v>
      </c>
      <c r="E4" s="374">
        <v>15069.98</v>
      </c>
      <c r="F4" s="274">
        <f>$D$2/D4*E4</f>
        <v>9041.988</v>
      </c>
      <c r="G4" s="230" t="s">
        <v>189</v>
      </c>
      <c r="H4" s="231">
        <f t="shared" si="0"/>
        <v>15.06998</v>
      </c>
      <c r="I4" s="402"/>
      <c r="J4" s="232">
        <f t="shared" si="1"/>
        <v>0.8372211111111111</v>
      </c>
    </row>
    <row r="5" spans="2:10" ht="12.75">
      <c r="B5" s="13"/>
      <c r="C5" s="228" t="s">
        <v>191</v>
      </c>
      <c r="D5" s="372">
        <v>330</v>
      </c>
      <c r="E5" s="374"/>
      <c r="F5" s="274">
        <f>$D$2/D5*E5</f>
        <v>0</v>
      </c>
      <c r="G5" s="230" t="s">
        <v>189</v>
      </c>
      <c r="H5" s="231">
        <f t="shared" si="0"/>
        <v>0</v>
      </c>
      <c r="I5" s="402"/>
      <c r="J5" s="232">
        <f t="shared" si="1"/>
        <v>0</v>
      </c>
    </row>
    <row r="6" spans="2:10" ht="12.75">
      <c r="B6" s="227"/>
      <c r="C6" s="228" t="s">
        <v>192</v>
      </c>
      <c r="D6" s="372">
        <v>1350</v>
      </c>
      <c r="E6" s="374">
        <v>431.52</v>
      </c>
      <c r="F6" s="274">
        <f>$D$2/D6*E6</f>
        <v>191.78666666666666</v>
      </c>
      <c r="G6" s="230" t="s">
        <v>189</v>
      </c>
      <c r="H6" s="231">
        <f t="shared" si="0"/>
        <v>0.31964444444444445</v>
      </c>
      <c r="I6" s="402"/>
      <c r="J6" s="232">
        <f t="shared" si="1"/>
        <v>0.017758024691358024</v>
      </c>
    </row>
    <row r="7" spans="2:10" ht="12.75">
      <c r="B7" s="13"/>
      <c r="C7" s="228" t="s">
        <v>193</v>
      </c>
      <c r="D7" s="372">
        <v>1200</v>
      </c>
      <c r="E7" s="374"/>
      <c r="F7" s="274">
        <f>$D$2/D7*E7</f>
        <v>0</v>
      </c>
      <c r="G7" s="230" t="s">
        <v>189</v>
      </c>
      <c r="H7" s="231">
        <f t="shared" si="0"/>
        <v>0</v>
      </c>
      <c r="I7" s="402"/>
      <c r="J7" s="232">
        <f t="shared" si="1"/>
        <v>0</v>
      </c>
    </row>
    <row r="8" spans="2:10" ht="27.75" customHeight="1">
      <c r="B8" s="227"/>
      <c r="C8" s="233" t="s">
        <v>194</v>
      </c>
      <c r="D8" s="372">
        <v>800</v>
      </c>
      <c r="E8" s="374">
        <v>3979.8</v>
      </c>
      <c r="F8" s="274">
        <f>$D$2/D8*E8</f>
        <v>2984.8500000000004</v>
      </c>
      <c r="G8" s="230" t="s">
        <v>189</v>
      </c>
      <c r="H8" s="231">
        <f t="shared" si="0"/>
        <v>4.97475</v>
      </c>
      <c r="I8" s="403"/>
      <c r="J8" s="232">
        <f t="shared" si="1"/>
        <v>0.27637500000000004</v>
      </c>
    </row>
    <row r="9" spans="2:10" ht="12.75">
      <c r="B9" s="241" t="s">
        <v>195</v>
      </c>
      <c r="C9" s="204"/>
      <c r="D9" s="242">
        <v>1200</v>
      </c>
      <c r="E9" s="242"/>
      <c r="F9" s="294">
        <f>SUM(F10:F15)</f>
        <v>3075.8</v>
      </c>
      <c r="G9" s="243"/>
      <c r="H9" s="244"/>
      <c r="I9" s="242"/>
      <c r="J9" s="245"/>
    </row>
    <row r="10" spans="2:10" ht="27.75" customHeight="1">
      <c r="B10" s="227"/>
      <c r="C10" s="233" t="s">
        <v>196</v>
      </c>
      <c r="D10" s="372">
        <v>1200</v>
      </c>
      <c r="E10" s="229">
        <v>3075.8</v>
      </c>
      <c r="F10" s="274">
        <f aca="true" t="shared" si="2" ref="F10:F15">$D$9/D10*E10</f>
        <v>3075.8</v>
      </c>
      <c r="G10" s="230" t="s">
        <v>189</v>
      </c>
      <c r="H10" s="231">
        <f aca="true" t="shared" si="3" ref="H10:H15">E10/D10</f>
        <v>2.563166666666667</v>
      </c>
      <c r="I10" s="401">
        <v>18</v>
      </c>
      <c r="J10" s="232">
        <f aca="true" t="shared" si="4" ref="J10:J15">H10/$I$10</f>
        <v>0.14239814814814816</v>
      </c>
    </row>
    <row r="11" spans="2:10" ht="12.75">
      <c r="B11" s="13"/>
      <c r="C11" s="228" t="s">
        <v>197</v>
      </c>
      <c r="D11" s="372">
        <v>6000</v>
      </c>
      <c r="E11" s="229"/>
      <c r="F11" s="274">
        <f t="shared" si="2"/>
        <v>0</v>
      </c>
      <c r="G11" s="230" t="s">
        <v>189</v>
      </c>
      <c r="H11" s="231">
        <f t="shared" si="3"/>
        <v>0</v>
      </c>
      <c r="I11" s="402"/>
      <c r="J11" s="232">
        <f t="shared" si="4"/>
        <v>0</v>
      </c>
    </row>
    <row r="12" spans="2:10" ht="12.75" customHeight="1">
      <c r="B12" s="227"/>
      <c r="C12" s="233" t="s">
        <v>198</v>
      </c>
      <c r="D12" s="372">
        <v>1200</v>
      </c>
      <c r="E12" s="229"/>
      <c r="F12" s="274">
        <f t="shared" si="2"/>
        <v>0</v>
      </c>
      <c r="G12" s="230" t="s">
        <v>189</v>
      </c>
      <c r="H12" s="231">
        <f t="shared" si="3"/>
        <v>0</v>
      </c>
      <c r="I12" s="402"/>
      <c r="J12" s="232">
        <f t="shared" si="4"/>
        <v>0</v>
      </c>
    </row>
    <row r="13" spans="2:10" ht="12.75" customHeight="1">
      <c r="B13" s="13"/>
      <c r="C13" s="233" t="s">
        <v>199</v>
      </c>
      <c r="D13" s="372">
        <v>1200</v>
      </c>
      <c r="E13" s="229"/>
      <c r="F13" s="274">
        <f t="shared" si="2"/>
        <v>0</v>
      </c>
      <c r="G13" s="230" t="s">
        <v>189</v>
      </c>
      <c r="H13" s="231">
        <f t="shared" si="3"/>
        <v>0</v>
      </c>
      <c r="I13" s="402"/>
      <c r="J13" s="232">
        <f t="shared" si="4"/>
        <v>0</v>
      </c>
    </row>
    <row r="14" spans="2:10" ht="12.75" customHeight="1">
      <c r="B14" s="227"/>
      <c r="C14" s="233" t="s">
        <v>200</v>
      </c>
      <c r="D14" s="372">
        <v>1200</v>
      </c>
      <c r="E14" s="229"/>
      <c r="F14" s="274">
        <f t="shared" si="2"/>
        <v>0</v>
      </c>
      <c r="G14" s="230" t="s">
        <v>189</v>
      </c>
      <c r="H14" s="231">
        <f t="shared" si="3"/>
        <v>0</v>
      </c>
      <c r="I14" s="402"/>
      <c r="J14" s="232">
        <f t="shared" si="4"/>
        <v>0</v>
      </c>
    </row>
    <row r="15" spans="2:10" ht="12.75" customHeight="1">
      <c r="B15" s="227"/>
      <c r="C15" s="233" t="s">
        <v>201</v>
      </c>
      <c r="D15" s="372">
        <v>100000</v>
      </c>
      <c r="E15" s="229"/>
      <c r="F15" s="274">
        <f t="shared" si="2"/>
        <v>0</v>
      </c>
      <c r="G15" s="230" t="s">
        <v>189</v>
      </c>
      <c r="H15" s="231">
        <f t="shared" si="3"/>
        <v>0</v>
      </c>
      <c r="I15" s="403"/>
      <c r="J15" s="232">
        <f t="shared" si="4"/>
        <v>0</v>
      </c>
    </row>
    <row r="16" spans="2:10" ht="12.75">
      <c r="B16" s="246" t="s">
        <v>202</v>
      </c>
      <c r="C16" s="206"/>
      <c r="D16" s="247">
        <v>220</v>
      </c>
      <c r="E16" s="248"/>
      <c r="F16" s="293">
        <f>SUM(F17:F19)</f>
        <v>4184.08</v>
      </c>
      <c r="G16" s="248"/>
      <c r="H16" s="249"/>
      <c r="I16" s="250"/>
      <c r="J16" s="251"/>
    </row>
    <row r="17" spans="2:10" ht="25.5">
      <c r="B17" s="227"/>
      <c r="C17" s="233" t="s">
        <v>203</v>
      </c>
      <c r="D17" s="372">
        <v>110</v>
      </c>
      <c r="E17" s="229"/>
      <c r="F17" s="274">
        <f>$D$16/D17*E17</f>
        <v>0</v>
      </c>
      <c r="G17" s="234">
        <f>1/110*16/191.4</f>
        <v>0.0007599506032107912</v>
      </c>
      <c r="H17" s="231">
        <f>G17*E17</f>
        <v>0</v>
      </c>
      <c r="I17" s="401">
        <v>18</v>
      </c>
      <c r="J17" s="232">
        <f>H17/$I$17</f>
        <v>0</v>
      </c>
    </row>
    <row r="18" spans="2:10" ht="25.5">
      <c r="B18" s="13"/>
      <c r="C18" s="233" t="s">
        <v>204</v>
      </c>
      <c r="D18" s="372">
        <v>220</v>
      </c>
      <c r="E18" s="229">
        <f>1847.24</f>
        <v>1847.24</v>
      </c>
      <c r="F18" s="274">
        <f>$D$16/D18*E18</f>
        <v>1847.24</v>
      </c>
      <c r="G18" s="234">
        <f>1/220*16/191.4</f>
        <v>0.0003799753016053956</v>
      </c>
      <c r="H18" s="231">
        <f>G18*E18</f>
        <v>0.701905576137551</v>
      </c>
      <c r="I18" s="402"/>
      <c r="J18" s="232">
        <f>H18/$I$17</f>
        <v>0.03899475422986395</v>
      </c>
    </row>
    <row r="19" spans="2:10" ht="12.75">
      <c r="B19" s="227"/>
      <c r="C19" s="233" t="s">
        <v>205</v>
      </c>
      <c r="D19" s="372">
        <v>220</v>
      </c>
      <c r="E19" s="229">
        <f>1847.24+489.6</f>
        <v>2336.84</v>
      </c>
      <c r="F19" s="274">
        <f>$D$16/D19*E19</f>
        <v>2336.84</v>
      </c>
      <c r="G19" s="234">
        <f>1/220*16/191.4</f>
        <v>0.0003799753016053956</v>
      </c>
      <c r="H19" s="231">
        <f>E19*G19</f>
        <v>0.8879414838035528</v>
      </c>
      <c r="I19" s="403"/>
      <c r="J19" s="232">
        <f>H19/$I$17</f>
        <v>0.04933008243353071</v>
      </c>
    </row>
    <row r="20" spans="2:10" ht="12.75">
      <c r="B20" s="404" t="s">
        <v>210</v>
      </c>
      <c r="C20" s="405"/>
      <c r="D20" s="252">
        <v>110</v>
      </c>
      <c r="E20" s="252"/>
      <c r="F20" s="295">
        <f>E21</f>
        <v>258</v>
      </c>
      <c r="G20" s="253"/>
      <c r="H20" s="254"/>
      <c r="I20" s="255"/>
      <c r="J20" s="256"/>
    </row>
    <row r="21" spans="2:10" ht="12.75">
      <c r="B21" s="262"/>
      <c r="C21" s="266" t="s">
        <v>206</v>
      </c>
      <c r="D21" s="371">
        <v>110</v>
      </c>
      <c r="E21" s="229">
        <v>258</v>
      </c>
      <c r="F21" s="274">
        <f>E21</f>
        <v>258</v>
      </c>
      <c r="G21" s="263">
        <f>1/110*8/1148.4</f>
        <v>6.33292169342326E-05</v>
      </c>
      <c r="H21" s="264">
        <f>E21*G21</f>
        <v>0.01633893796903201</v>
      </c>
      <c r="I21" s="265">
        <v>4</v>
      </c>
      <c r="J21" s="232">
        <f>H21/I21</f>
        <v>0.004084734492258002</v>
      </c>
    </row>
    <row r="22" spans="2:10" ht="12.75">
      <c r="B22" s="406" t="s">
        <v>211</v>
      </c>
      <c r="C22" s="407"/>
      <c r="D22" s="257">
        <v>330</v>
      </c>
      <c r="E22" s="257"/>
      <c r="F22" s="296">
        <f>F23</f>
        <v>0</v>
      </c>
      <c r="G22" s="258"/>
      <c r="H22" s="259"/>
      <c r="I22" s="260"/>
      <c r="J22" s="261"/>
    </row>
    <row r="23" spans="2:10" ht="12.75" customHeight="1" thickBot="1">
      <c r="B23" s="268"/>
      <c r="C23" s="267" t="s">
        <v>207</v>
      </c>
      <c r="D23" s="373">
        <v>330</v>
      </c>
      <c r="E23" s="269"/>
      <c r="F23" s="354">
        <f>E23</f>
        <v>0</v>
      </c>
      <c r="G23" s="355" t="s">
        <v>189</v>
      </c>
      <c r="H23" s="356">
        <f>E23/D23</f>
        <v>0</v>
      </c>
      <c r="I23" s="375">
        <v>18</v>
      </c>
      <c r="J23" s="357">
        <f>H23/I23</f>
        <v>0</v>
      </c>
    </row>
    <row r="24" spans="2:10" ht="13.5" thickBot="1">
      <c r="B24" s="398" t="s">
        <v>208</v>
      </c>
      <c r="C24" s="399"/>
      <c r="D24" s="399"/>
      <c r="E24" s="400"/>
      <c r="F24" s="342"/>
      <c r="G24" s="343"/>
      <c r="H24" s="358">
        <f>IF(INT(SUM(H3:H23)*10)-10*INT(SUM(H3:H23))&gt;=1,INT(SUM(H3:H23))+1,INT(SUM(H3:H23)))</f>
        <v>25</v>
      </c>
      <c r="I24" s="358"/>
      <c r="J24" s="358">
        <f>IF(INT(SUM(J3:J23)*10)-10*INT(SUM(J3:J23))&gt;=1,INT(SUM(J3:J23))+1,INT(SUM(J3:J23)))</f>
        <v>2</v>
      </c>
    </row>
    <row r="25" spans="6:10" ht="12.75" hidden="1">
      <c r="F25" s="328"/>
      <c r="G25" s="329" t="s">
        <v>249</v>
      </c>
      <c r="H25" s="299">
        <f>SUM(H3:H23)</f>
        <v>24.946727109021246</v>
      </c>
      <c r="J25" s="299">
        <f>SUM(J3:J23)</f>
        <v>1.3891062995507144</v>
      </c>
    </row>
    <row r="26" spans="8:10" ht="12.75">
      <c r="H26" s="299"/>
      <c r="J26" s="299"/>
    </row>
    <row r="27" spans="2:7" ht="12.75">
      <c r="B27" s="394" t="s">
        <v>209</v>
      </c>
      <c r="C27" s="394"/>
      <c r="D27" s="394"/>
      <c r="E27" s="395"/>
      <c r="F27" s="272"/>
      <c r="G27" s="273"/>
    </row>
    <row r="28" spans="5:6" ht="12.75">
      <c r="E28" s="235"/>
      <c r="F28" s="235"/>
    </row>
    <row r="29" spans="5:6" ht="12.75">
      <c r="E29" s="235"/>
      <c r="F29" s="235"/>
    </row>
    <row r="30" spans="5:6" ht="12.75">
      <c r="E30" s="235"/>
      <c r="F30" s="235"/>
    </row>
  </sheetData>
  <sheetProtection password="D667" sheet="1" objects="1" scenarios="1"/>
  <mergeCells count="8">
    <mergeCell ref="B27:E27"/>
    <mergeCell ref="B1:C1"/>
    <mergeCell ref="B24:E24"/>
    <mergeCell ref="I3:I8"/>
    <mergeCell ref="I10:I15"/>
    <mergeCell ref="B20:C20"/>
    <mergeCell ref="B22:C22"/>
    <mergeCell ref="I17:I19"/>
  </mergeCells>
  <printOptions/>
  <pageMargins left="0.75" right="0.75" top="1" bottom="1" header="0.492125985" footer="0.492125985"/>
  <pageSetup fitToHeight="1" fitToWidth="1" horizontalDpi="300" verticalDpi="300" orientation="landscape" paperSize="9" scale="95" r:id="rId1"/>
  <ignoredErrors>
    <ignoredError sqref="F9 F20 F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K48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86.28125" style="0" customWidth="1"/>
    <col min="4" max="5" width="9.28125" style="0" customWidth="1"/>
    <col min="6" max="6" width="11.00390625" style="0" customWidth="1"/>
    <col min="7" max="7" width="4.00390625" style="0" customWidth="1"/>
    <col min="8" max="8" width="9.28125" style="0" customWidth="1"/>
    <col min="9" max="9" width="12.28125" style="0" customWidth="1"/>
    <col min="10" max="10" width="3.57421875" style="0" customWidth="1"/>
  </cols>
  <sheetData>
    <row r="1" spans="2:9" ht="13.5" thickBot="1">
      <c r="B1" s="439" t="s">
        <v>117</v>
      </c>
      <c r="C1" s="439"/>
      <c r="D1" s="439"/>
      <c r="E1" s="439"/>
      <c r="F1" s="439"/>
      <c r="G1" s="439"/>
      <c r="H1" s="439"/>
      <c r="I1" s="439"/>
    </row>
    <row r="2" spans="2:9" ht="12.75">
      <c r="B2" s="382" t="str">
        <f>UPPER('MOB Vinc'!E5)</f>
        <v>ENCARREGADO</v>
      </c>
      <c r="C2" s="416"/>
      <c r="D2" s="416"/>
      <c r="E2" s="416"/>
      <c r="F2" s="416"/>
      <c r="G2" s="416"/>
      <c r="H2" s="416"/>
      <c r="I2" s="432"/>
    </row>
    <row r="3" spans="2:9" ht="12.75">
      <c r="B3" s="433" t="s">
        <v>52</v>
      </c>
      <c r="C3" s="434"/>
      <c r="D3" s="434"/>
      <c r="E3" s="434"/>
      <c r="F3" s="434"/>
      <c r="G3" s="44"/>
      <c r="H3" s="445" t="s">
        <v>53</v>
      </c>
      <c r="I3" s="446"/>
    </row>
    <row r="4" spans="2:9" ht="12.75">
      <c r="B4" s="435" t="s">
        <v>99</v>
      </c>
      <c r="C4" s="440"/>
      <c r="D4" s="60" t="s">
        <v>21</v>
      </c>
      <c r="E4" s="109" t="s">
        <v>9</v>
      </c>
      <c r="F4" s="96" t="s">
        <v>10</v>
      </c>
      <c r="G4" s="44"/>
      <c r="H4" s="94" t="s">
        <v>9</v>
      </c>
      <c r="I4" s="93" t="s">
        <v>10</v>
      </c>
    </row>
    <row r="5" spans="2:9" ht="12.75" customHeight="1">
      <c r="B5" s="23" t="s">
        <v>74</v>
      </c>
      <c r="C5" s="443" t="s">
        <v>64</v>
      </c>
      <c r="D5" s="444"/>
      <c r="E5" s="95">
        <f>1/12*100</f>
        <v>8.333333333333332</v>
      </c>
      <c r="F5" s="38">
        <f>'Mod 1'!$H$10*E5/100</f>
        <v>0</v>
      </c>
      <c r="G5" s="44"/>
      <c r="H5" s="82">
        <f>E5</f>
        <v>8.333333333333332</v>
      </c>
      <c r="I5" s="24">
        <f>'Mod 1'!$H$10*H5/100</f>
        <v>0</v>
      </c>
    </row>
    <row r="6" spans="2:9" ht="12.75" customHeight="1">
      <c r="B6" s="75" t="s">
        <v>11</v>
      </c>
      <c r="C6" s="452" t="s">
        <v>86</v>
      </c>
      <c r="D6" s="444"/>
      <c r="E6" s="118">
        <f>D7/30/12*100</f>
        <v>0</v>
      </c>
      <c r="F6" s="38">
        <f>'Mod 1'!$H$10*E6/100</f>
        <v>0</v>
      </c>
      <c r="G6" s="44"/>
      <c r="H6" s="82">
        <f>E6</f>
        <v>0</v>
      </c>
      <c r="I6" s="24">
        <f>'Mod 1'!$H$10*H6/100</f>
        <v>0</v>
      </c>
    </row>
    <row r="7" spans="2:9" ht="12.75" customHeight="1">
      <c r="B7" s="121"/>
      <c r="C7" s="122" t="s">
        <v>87</v>
      </c>
      <c r="D7" s="114"/>
      <c r="E7" s="119"/>
      <c r="F7" s="124"/>
      <c r="G7" s="44"/>
      <c r="H7" s="119"/>
      <c r="I7" s="140"/>
    </row>
    <row r="8" spans="2:11" ht="12.75" customHeight="1">
      <c r="B8" s="75" t="s">
        <v>13</v>
      </c>
      <c r="C8" s="443" t="s">
        <v>88</v>
      </c>
      <c r="D8" s="444"/>
      <c r="E8" s="125">
        <f>5/30/12*D9*D10/100</f>
        <v>0</v>
      </c>
      <c r="F8" s="38">
        <f>'Mod 1'!$H$10*E8/100</f>
        <v>0</v>
      </c>
      <c r="G8" s="44"/>
      <c r="H8" s="82">
        <f>E8</f>
        <v>0</v>
      </c>
      <c r="I8" s="24">
        <f>'Mod 1'!$H$10*H8/100</f>
        <v>0</v>
      </c>
      <c r="J8" s="89"/>
      <c r="K8" s="90"/>
    </row>
    <row r="9" spans="2:11" ht="12.75" customHeight="1">
      <c r="B9" s="115"/>
      <c r="C9" s="26" t="s">
        <v>89</v>
      </c>
      <c r="D9" s="29"/>
      <c r="E9" s="123"/>
      <c r="F9" s="90"/>
      <c r="G9" s="44"/>
      <c r="H9" s="89"/>
      <c r="I9" s="116"/>
      <c r="J9" s="89"/>
      <c r="K9" s="90"/>
    </row>
    <row r="10" spans="2:11" ht="12.75" customHeight="1">
      <c r="B10" s="115"/>
      <c r="C10" s="26" t="s">
        <v>90</v>
      </c>
      <c r="D10" s="367">
        <f>100-'SMod 4.3'!D8</f>
        <v>100</v>
      </c>
      <c r="E10" s="123"/>
      <c r="F10" s="90"/>
      <c r="G10" s="44"/>
      <c r="H10" s="89"/>
      <c r="I10" s="116"/>
      <c r="J10" s="89"/>
      <c r="K10" s="90"/>
    </row>
    <row r="11" spans="2:11" ht="12.75" customHeight="1">
      <c r="B11" s="75" t="s">
        <v>31</v>
      </c>
      <c r="C11" s="443" t="s">
        <v>91</v>
      </c>
      <c r="D11" s="444"/>
      <c r="E11" s="125">
        <f>D12/30/12*100</f>
        <v>0</v>
      </c>
      <c r="F11" s="38">
        <f>'Mod 1'!$H$10*E11/100</f>
        <v>0</v>
      </c>
      <c r="G11" s="44"/>
      <c r="H11" s="82">
        <f>E11</f>
        <v>0</v>
      </c>
      <c r="I11" s="24">
        <f>'Mod 1'!$H$10*H11/100</f>
        <v>0</v>
      </c>
      <c r="J11" s="89"/>
      <c r="K11" s="90"/>
    </row>
    <row r="12" spans="2:11" ht="12.75" customHeight="1">
      <c r="B12" s="115"/>
      <c r="C12" s="26" t="s">
        <v>92</v>
      </c>
      <c r="D12" s="29"/>
      <c r="E12" s="119"/>
      <c r="F12" s="90"/>
      <c r="G12" s="44"/>
      <c r="H12" s="89"/>
      <c r="I12" s="116"/>
      <c r="J12" s="89"/>
      <c r="K12" s="90"/>
    </row>
    <row r="13" spans="2:11" ht="12.75" customHeight="1">
      <c r="B13" s="75" t="s">
        <v>33</v>
      </c>
      <c r="C13" s="443" t="s">
        <v>93</v>
      </c>
      <c r="D13" s="444"/>
      <c r="E13" s="125">
        <f>IF(D15&gt;15,15,D15)/30/12*D14</f>
        <v>0</v>
      </c>
      <c r="F13" s="38">
        <f>'Mod 1'!$H$10*E13/100</f>
        <v>0</v>
      </c>
      <c r="G13" s="44"/>
      <c r="H13" s="82">
        <f>E13</f>
        <v>0</v>
      </c>
      <c r="I13" s="24">
        <f>'Mod 1'!$H$10*H13/100</f>
        <v>0</v>
      </c>
      <c r="J13" s="89"/>
      <c r="K13" s="90"/>
    </row>
    <row r="14" spans="2:11" ht="12.75" customHeight="1">
      <c r="B14" s="115"/>
      <c r="C14" s="26" t="s">
        <v>94</v>
      </c>
      <c r="D14" s="29"/>
      <c r="E14" s="127"/>
      <c r="F14" s="90"/>
      <c r="G14" s="44"/>
      <c r="H14" s="89"/>
      <c r="I14" s="116"/>
      <c r="J14" s="89"/>
      <c r="K14" s="90"/>
    </row>
    <row r="15" spans="2:11" ht="12.75" customHeight="1">
      <c r="B15" s="115"/>
      <c r="C15" s="26" t="s">
        <v>95</v>
      </c>
      <c r="D15" s="29"/>
      <c r="E15" s="127"/>
      <c r="F15" s="90"/>
      <c r="G15" s="44"/>
      <c r="H15" s="89"/>
      <c r="I15" s="116"/>
      <c r="J15" s="89"/>
      <c r="K15" s="90"/>
    </row>
    <row r="16" spans="2:11" ht="25.5" customHeight="1">
      <c r="B16" s="75" t="s">
        <v>36</v>
      </c>
      <c r="C16" s="454" t="s">
        <v>98</v>
      </c>
      <c r="D16" s="455"/>
      <c r="E16" s="132">
        <f>'SMod 4.1'!$D$10*IF(D15&gt;15,D15-15,0)/30/12*D14/100</f>
        <v>0</v>
      </c>
      <c r="F16" s="133">
        <f>'Mod 1'!$H$10*E16/100</f>
        <v>0</v>
      </c>
      <c r="G16" s="44"/>
      <c r="H16" s="82">
        <f>E16</f>
        <v>0</v>
      </c>
      <c r="I16" s="141">
        <f>'Mod 1'!$H$10*H16/100</f>
        <v>0</v>
      </c>
      <c r="J16" s="89"/>
      <c r="K16" s="90"/>
    </row>
    <row r="17" spans="2:11" ht="12.75" customHeight="1">
      <c r="B17" s="75" t="s">
        <v>37</v>
      </c>
      <c r="C17" s="128" t="s">
        <v>44</v>
      </c>
      <c r="D17" s="129"/>
      <c r="E17" s="82" t="e">
        <f>D19/12/'Mod 1'!H10*100</f>
        <v>#DIV/0!</v>
      </c>
      <c r="F17" s="38" t="e">
        <f>'Mod 1'!$H$10*E17/100</f>
        <v>#DIV/0!</v>
      </c>
      <c r="G17" s="44"/>
      <c r="H17" s="82" t="e">
        <f>E17</f>
        <v>#DIV/0!</v>
      </c>
      <c r="I17" s="24" t="e">
        <f>'Mod 1'!$H$10*H17/100</f>
        <v>#DIV/0!</v>
      </c>
      <c r="J17" s="89"/>
      <c r="K17" s="90"/>
    </row>
    <row r="18" spans="2:11" ht="12.75" customHeight="1">
      <c r="B18" s="115"/>
      <c r="C18" s="39"/>
      <c r="D18" s="62"/>
      <c r="E18" s="127"/>
      <c r="F18" s="90"/>
      <c r="G18" s="44"/>
      <c r="H18" s="89"/>
      <c r="I18" s="116"/>
      <c r="J18" s="89"/>
      <c r="K18" s="90"/>
    </row>
    <row r="19" spans="2:11" ht="12.75" customHeight="1">
      <c r="B19" s="115"/>
      <c r="C19" s="26" t="s">
        <v>51</v>
      </c>
      <c r="D19" s="27">
        <v>0</v>
      </c>
      <c r="E19" s="127"/>
      <c r="F19" s="90"/>
      <c r="G19" s="44"/>
      <c r="H19" s="89"/>
      <c r="I19" s="116"/>
      <c r="J19" s="89"/>
      <c r="K19" s="90"/>
    </row>
    <row r="20" spans="2:9" s="14" customFormat="1" ht="12.75" customHeight="1">
      <c r="B20" s="441" t="s">
        <v>96</v>
      </c>
      <c r="C20" s="453"/>
      <c r="D20" s="442"/>
      <c r="E20" s="130" t="e">
        <f>SUM(E5:E19)</f>
        <v>#DIV/0!</v>
      </c>
      <c r="F20" s="134" t="e">
        <f>'Mod 1'!$H$10*E20/100</f>
        <v>#DIV/0!</v>
      </c>
      <c r="G20" s="44"/>
      <c r="H20" s="131" t="e">
        <f>SUM(H5:H19)</f>
        <v>#DIV/0!</v>
      </c>
      <c r="I20" s="142" t="e">
        <f>'Mod 1'!$H$10*H20/100</f>
        <v>#DIV/0!</v>
      </c>
    </row>
    <row r="21" spans="2:9" ht="12.75" customHeight="1">
      <c r="B21" s="126" t="s">
        <v>39</v>
      </c>
      <c r="C21" s="443" t="s">
        <v>97</v>
      </c>
      <c r="D21" s="444"/>
      <c r="E21" s="120" t="e">
        <f>E20*'SMod 4.1'!$D$15/100</f>
        <v>#DIV/0!</v>
      </c>
      <c r="F21" s="38" t="e">
        <f>'Mod 1'!$H$10*E21/100</f>
        <v>#DIV/0!</v>
      </c>
      <c r="G21" s="44"/>
      <c r="H21" s="120" t="e">
        <f>H20*'SMod 4.1'!$G$15/100</f>
        <v>#DIV/0!</v>
      </c>
      <c r="I21" s="24" t="e">
        <f>'Mod 1'!$H$10*H21/100</f>
        <v>#DIV/0!</v>
      </c>
    </row>
    <row r="22" spans="2:9" ht="12" customHeight="1" thickBot="1">
      <c r="B22" s="64"/>
      <c r="C22" s="65"/>
      <c r="D22" s="65"/>
      <c r="E22" s="65"/>
      <c r="F22" s="66"/>
      <c r="G22" s="44"/>
      <c r="H22" s="91"/>
      <c r="I22" s="73"/>
    </row>
    <row r="23" spans="2:9" ht="12.75" customHeight="1" thickBot="1">
      <c r="B23" s="398" t="s">
        <v>62</v>
      </c>
      <c r="C23" s="399"/>
      <c r="D23" s="400"/>
      <c r="E23" s="138" t="e">
        <f>E20+E21</f>
        <v>#DIV/0!</v>
      </c>
      <c r="F23" s="105" t="e">
        <f>F21+F20</f>
        <v>#DIV/0!</v>
      </c>
      <c r="G23" s="55"/>
      <c r="H23" s="138" t="e">
        <f>H20+H21</f>
        <v>#DIV/0!</v>
      </c>
      <c r="I23" s="143" t="e">
        <f>I21+I20</f>
        <v>#DIV/0!</v>
      </c>
    </row>
    <row r="24" spans="2:9" s="43" customFormat="1" ht="12.75" customHeight="1">
      <c r="B24" s="98">
        <f>IF(D10+'SMod 4.3'!D8&lt;&gt;100,"=&gt;Erro: Soma de homens e mulheres diferente de 100%","")</f>
      </c>
      <c r="C24" s="68"/>
      <c r="D24" s="68"/>
      <c r="E24" s="68"/>
      <c r="F24" s="69"/>
      <c r="G24" s="44"/>
      <c r="H24" s="68"/>
      <c r="I24" s="69"/>
    </row>
    <row r="25" spans="1:9" ht="13.5" thickBot="1">
      <c r="A25" s="14"/>
      <c r="B25" s="70"/>
      <c r="C25" s="71"/>
      <c r="D25" s="72"/>
      <c r="E25" s="72"/>
      <c r="F25" s="72"/>
      <c r="G25" s="44"/>
      <c r="H25" s="72"/>
      <c r="I25" s="72"/>
    </row>
    <row r="26" spans="2:9" ht="12.75">
      <c r="B26" s="382" t="str">
        <f>UPPER('MOB Vinc'!M5)</f>
        <v>SERVENTE DE LIMPEZA</v>
      </c>
      <c r="C26" s="416"/>
      <c r="D26" s="416"/>
      <c r="E26" s="416"/>
      <c r="F26" s="416"/>
      <c r="G26" s="416"/>
      <c r="H26" s="416"/>
      <c r="I26" s="432"/>
    </row>
    <row r="27" spans="2:9" ht="12.75">
      <c r="B27" s="456" t="s">
        <v>52</v>
      </c>
      <c r="C27" s="457"/>
      <c r="D27" s="457"/>
      <c r="E27" s="457"/>
      <c r="F27" s="457"/>
      <c r="G27" s="44"/>
      <c r="H27" s="445" t="s">
        <v>53</v>
      </c>
      <c r="I27" s="446"/>
    </row>
    <row r="28" spans="2:9" ht="12.75">
      <c r="B28" s="435" t="s">
        <v>99</v>
      </c>
      <c r="C28" s="440"/>
      <c r="D28" s="60" t="s">
        <v>21</v>
      </c>
      <c r="E28" s="109" t="s">
        <v>9</v>
      </c>
      <c r="F28" s="96" t="s">
        <v>10</v>
      </c>
      <c r="G28" s="44"/>
      <c r="H28" s="94" t="s">
        <v>9</v>
      </c>
      <c r="I28" s="93" t="s">
        <v>10</v>
      </c>
    </row>
    <row r="29" spans="2:9" ht="12.75" customHeight="1">
      <c r="B29" s="23" t="s">
        <v>74</v>
      </c>
      <c r="C29" s="443" t="s">
        <v>64</v>
      </c>
      <c r="D29" s="444"/>
      <c r="E29" s="95">
        <f>1/12*100</f>
        <v>8.333333333333332</v>
      </c>
      <c r="F29" s="38">
        <f>'Mod 1'!$Q$10*E29/100</f>
        <v>0</v>
      </c>
      <c r="G29" s="44"/>
      <c r="H29" s="82">
        <f>E29</f>
        <v>8.333333333333332</v>
      </c>
      <c r="I29" s="24">
        <f>'Mod 1'!$Q$10*H29/100</f>
        <v>0</v>
      </c>
    </row>
    <row r="30" spans="2:9" ht="12.75" customHeight="1">
      <c r="B30" s="75" t="s">
        <v>11</v>
      </c>
      <c r="C30" s="452" t="s">
        <v>86</v>
      </c>
      <c r="D30" s="444"/>
      <c r="E30" s="118">
        <f>D31/30/12*100</f>
        <v>0</v>
      </c>
      <c r="F30" s="38">
        <f>'Mod 1'!$Q$10*E30/100</f>
        <v>0</v>
      </c>
      <c r="G30" s="44"/>
      <c r="H30" s="82">
        <f>E30</f>
        <v>0</v>
      </c>
      <c r="I30" s="24">
        <f>'Mod 1'!$Q$10*H30/100</f>
        <v>0</v>
      </c>
    </row>
    <row r="31" spans="2:9" ht="12.75" customHeight="1">
      <c r="B31" s="121"/>
      <c r="C31" s="122" t="s">
        <v>87</v>
      </c>
      <c r="D31" s="114"/>
      <c r="E31" s="119"/>
      <c r="F31" s="124"/>
      <c r="G31" s="44"/>
      <c r="H31" s="119"/>
      <c r="I31" s="140"/>
    </row>
    <row r="32" spans="2:11" ht="12.75" customHeight="1">
      <c r="B32" s="75" t="s">
        <v>13</v>
      </c>
      <c r="C32" s="443" t="s">
        <v>88</v>
      </c>
      <c r="D32" s="444"/>
      <c r="E32" s="125">
        <f>5/30/12*D33*D34/100</f>
        <v>0</v>
      </c>
      <c r="F32" s="38">
        <f>'Mod 1'!$Q$10*E32/100</f>
        <v>0</v>
      </c>
      <c r="G32" s="44"/>
      <c r="H32" s="82">
        <f>E32</f>
        <v>0</v>
      </c>
      <c r="I32" s="24">
        <f>'Mod 1'!$Q$10*H32/100</f>
        <v>0</v>
      </c>
      <c r="J32" s="89"/>
      <c r="K32" s="90"/>
    </row>
    <row r="33" spans="2:11" ht="12.75" customHeight="1">
      <c r="B33" s="115"/>
      <c r="C33" s="26" t="s">
        <v>89</v>
      </c>
      <c r="D33" s="29"/>
      <c r="E33" s="123"/>
      <c r="F33" s="90"/>
      <c r="G33" s="44"/>
      <c r="H33" s="89"/>
      <c r="I33" s="116"/>
      <c r="J33" s="89"/>
      <c r="K33" s="90"/>
    </row>
    <row r="34" spans="2:11" ht="12.75" customHeight="1">
      <c r="B34" s="115"/>
      <c r="C34" s="26" t="s">
        <v>90</v>
      </c>
      <c r="D34" s="367">
        <f>100-'SMod 4.3'!D20</f>
        <v>100</v>
      </c>
      <c r="E34" s="123"/>
      <c r="F34" s="90"/>
      <c r="G34" s="44"/>
      <c r="H34" s="89"/>
      <c r="I34" s="116"/>
      <c r="J34" s="89"/>
      <c r="K34" s="90"/>
    </row>
    <row r="35" spans="2:11" ht="12.75" customHeight="1">
      <c r="B35" s="75" t="s">
        <v>31</v>
      </c>
      <c r="C35" s="443" t="s">
        <v>91</v>
      </c>
      <c r="D35" s="444"/>
      <c r="E35" s="125">
        <f>D36/30/12*100</f>
        <v>0</v>
      </c>
      <c r="F35" s="38">
        <f>'Mod 1'!$Q$10*E35/100</f>
        <v>0</v>
      </c>
      <c r="G35" s="44"/>
      <c r="H35" s="82">
        <f>E35</f>
        <v>0</v>
      </c>
      <c r="I35" s="24">
        <f>'Mod 1'!$Q$10*H35/100</f>
        <v>0</v>
      </c>
      <c r="J35" s="89"/>
      <c r="K35" s="90"/>
    </row>
    <row r="36" spans="2:11" ht="12.75" customHeight="1">
      <c r="B36" s="115"/>
      <c r="C36" s="26" t="s">
        <v>92</v>
      </c>
      <c r="D36" s="29"/>
      <c r="E36" s="119"/>
      <c r="F36" s="90"/>
      <c r="G36" s="44"/>
      <c r="H36" s="89"/>
      <c r="I36" s="116"/>
      <c r="J36" s="89"/>
      <c r="K36" s="90"/>
    </row>
    <row r="37" spans="2:11" ht="12.75" customHeight="1">
      <c r="B37" s="75" t="s">
        <v>33</v>
      </c>
      <c r="C37" s="443" t="s">
        <v>93</v>
      </c>
      <c r="D37" s="444"/>
      <c r="E37" s="125">
        <f>IF(D39&gt;15,15,D39)/30/12*D38</f>
        <v>0</v>
      </c>
      <c r="F37" s="38">
        <f>'Mod 1'!$Q$10*E37/100</f>
        <v>0</v>
      </c>
      <c r="G37" s="44"/>
      <c r="H37" s="82">
        <f>E37</f>
        <v>0</v>
      </c>
      <c r="I37" s="24">
        <f>'Mod 1'!$Q$10*H37/100</f>
        <v>0</v>
      </c>
      <c r="J37" s="89"/>
      <c r="K37" s="90"/>
    </row>
    <row r="38" spans="2:11" ht="12.75" customHeight="1">
      <c r="B38" s="115"/>
      <c r="C38" s="26" t="s">
        <v>94</v>
      </c>
      <c r="D38" s="29"/>
      <c r="E38" s="127"/>
      <c r="F38" s="90"/>
      <c r="G38" s="44"/>
      <c r="H38" s="89"/>
      <c r="I38" s="116"/>
      <c r="J38" s="89"/>
      <c r="K38" s="90"/>
    </row>
    <row r="39" spans="2:11" ht="12.75" customHeight="1">
      <c r="B39" s="115"/>
      <c r="C39" s="26" t="s">
        <v>95</v>
      </c>
      <c r="D39" s="29"/>
      <c r="E39" s="127"/>
      <c r="F39" s="90"/>
      <c r="G39" s="44"/>
      <c r="H39" s="89"/>
      <c r="I39" s="116"/>
      <c r="J39" s="89"/>
      <c r="K39" s="90"/>
    </row>
    <row r="40" spans="2:11" ht="25.5" customHeight="1">
      <c r="B40" s="75" t="s">
        <v>36</v>
      </c>
      <c r="C40" s="454" t="s">
        <v>98</v>
      </c>
      <c r="D40" s="455"/>
      <c r="E40" s="132">
        <f>'SMod 4.1'!$D$10*IF(D39&gt;15,D39-15,0)/30/12*D38/100</f>
        <v>0</v>
      </c>
      <c r="F40" s="141">
        <f>'Mod 1'!$Q$10*E40/100</f>
        <v>0</v>
      </c>
      <c r="G40" s="44"/>
      <c r="H40" s="82">
        <f>E40</f>
        <v>0</v>
      </c>
      <c r="I40" s="141">
        <f>'Mod 1'!$Q$10*H40/100</f>
        <v>0</v>
      </c>
      <c r="J40" s="89"/>
      <c r="K40" s="90"/>
    </row>
    <row r="41" spans="2:11" ht="12.75" customHeight="1">
      <c r="B41" s="75" t="s">
        <v>37</v>
      </c>
      <c r="C41" s="128" t="s">
        <v>44</v>
      </c>
      <c r="D41" s="129"/>
      <c r="E41" s="82" t="e">
        <f>D43/12/'Mod 1'!$Q$10*100</f>
        <v>#DIV/0!</v>
      </c>
      <c r="F41" s="38" t="e">
        <f>'Mod 1'!$Q$10*E41/100</f>
        <v>#DIV/0!</v>
      </c>
      <c r="G41" s="44"/>
      <c r="H41" s="82" t="e">
        <f>E41</f>
        <v>#DIV/0!</v>
      </c>
      <c r="I41" s="24" t="e">
        <f>'Mod 1'!$Q$10*H41/100</f>
        <v>#DIV/0!</v>
      </c>
      <c r="J41" s="89"/>
      <c r="K41" s="90"/>
    </row>
    <row r="42" spans="2:11" ht="12.75" customHeight="1">
      <c r="B42" s="115"/>
      <c r="C42" s="39"/>
      <c r="D42" s="62"/>
      <c r="E42" s="127"/>
      <c r="F42" s="90"/>
      <c r="G42" s="44"/>
      <c r="H42" s="89"/>
      <c r="I42" s="116"/>
      <c r="J42" s="89"/>
      <c r="K42" s="90"/>
    </row>
    <row r="43" spans="2:11" ht="12.75" customHeight="1">
      <c r="B43" s="115"/>
      <c r="C43" s="26" t="s">
        <v>51</v>
      </c>
      <c r="D43" s="27">
        <v>0</v>
      </c>
      <c r="E43" s="127"/>
      <c r="F43" s="90"/>
      <c r="G43" s="44"/>
      <c r="H43" s="89"/>
      <c r="I43" s="116"/>
      <c r="J43" s="89"/>
      <c r="K43" s="90"/>
    </row>
    <row r="44" spans="2:9" s="14" customFormat="1" ht="12.75" customHeight="1">
      <c r="B44" s="441" t="s">
        <v>96</v>
      </c>
      <c r="C44" s="453"/>
      <c r="D44" s="442"/>
      <c r="E44" s="130" t="e">
        <f>SUM(E29:E43)</f>
        <v>#DIV/0!</v>
      </c>
      <c r="F44" s="142" t="e">
        <f>'Mod 1'!$Q$10*E44/100</f>
        <v>#DIV/0!</v>
      </c>
      <c r="G44" s="44"/>
      <c r="H44" s="131" t="e">
        <f>SUM(H29:H43)</f>
        <v>#DIV/0!</v>
      </c>
      <c r="I44" s="142" t="e">
        <f>'Mod 1'!$Q$10*H44/100</f>
        <v>#DIV/0!</v>
      </c>
    </row>
    <row r="45" spans="2:9" ht="12.75" customHeight="1">
      <c r="B45" s="126" t="s">
        <v>39</v>
      </c>
      <c r="C45" s="443" t="s">
        <v>97</v>
      </c>
      <c r="D45" s="444"/>
      <c r="E45" s="120" t="e">
        <f>E44*'SMod 4.1'!$D$15/100</f>
        <v>#DIV/0!</v>
      </c>
      <c r="F45" s="141" t="e">
        <f>'Mod 1'!$Q$10*E45/100</f>
        <v>#DIV/0!</v>
      </c>
      <c r="G45" s="44"/>
      <c r="H45" s="120" t="e">
        <f>H44*'SMod 4.1'!$G$15/100</f>
        <v>#DIV/0!</v>
      </c>
      <c r="I45" s="24" t="e">
        <f>'Mod 1'!$Q$10*H45/100</f>
        <v>#DIV/0!</v>
      </c>
    </row>
    <row r="46" spans="2:9" ht="12" customHeight="1" thickBot="1">
      <c r="B46" s="64"/>
      <c r="C46" s="65"/>
      <c r="D46" s="65"/>
      <c r="E46" s="65"/>
      <c r="F46" s="66"/>
      <c r="G46" s="44"/>
      <c r="H46" s="91"/>
      <c r="I46" s="73"/>
    </row>
    <row r="47" spans="2:9" ht="12.75" customHeight="1" thickBot="1">
      <c r="B47" s="398" t="s">
        <v>62</v>
      </c>
      <c r="C47" s="399"/>
      <c r="D47" s="400"/>
      <c r="E47" s="138" t="e">
        <f>E44+E45</f>
        <v>#DIV/0!</v>
      </c>
      <c r="F47" s="105" t="e">
        <f>F45+F44</f>
        <v>#DIV/0!</v>
      </c>
      <c r="G47" s="55"/>
      <c r="H47" s="138" t="e">
        <f>H44+H45</f>
        <v>#DIV/0!</v>
      </c>
      <c r="I47" s="143" t="e">
        <f>I45+I44</f>
        <v>#DIV/0!</v>
      </c>
    </row>
    <row r="48" spans="2:9" s="43" customFormat="1" ht="12.75" customHeight="1">
      <c r="B48" s="98">
        <f>IF(D34+'SMod 4.3'!D20&lt;&gt;100,"=&gt;Erro: Soma de homens e mulheres diferente de 100%","")</f>
      </c>
      <c r="C48" s="68"/>
      <c r="D48" s="68"/>
      <c r="E48" s="68"/>
      <c r="F48" s="69"/>
      <c r="G48" s="44"/>
      <c r="H48" s="68"/>
      <c r="I48" s="69"/>
    </row>
  </sheetData>
  <sheetProtection password="D667" sheet="1" objects="1" scenarios="1"/>
  <mergeCells count="27">
    <mergeCell ref="B44:D44"/>
    <mergeCell ref="C45:D45"/>
    <mergeCell ref="B47:D47"/>
    <mergeCell ref="C30:D30"/>
    <mergeCell ref="C37:D37"/>
    <mergeCell ref="C40:D40"/>
    <mergeCell ref="C35:D35"/>
    <mergeCell ref="C32:D32"/>
    <mergeCell ref="C29:D29"/>
    <mergeCell ref="B20:D20"/>
    <mergeCell ref="C16:D16"/>
    <mergeCell ref="C11:D11"/>
    <mergeCell ref="C21:D21"/>
    <mergeCell ref="C13:D13"/>
    <mergeCell ref="B23:D23"/>
    <mergeCell ref="B26:I26"/>
    <mergeCell ref="B27:F27"/>
    <mergeCell ref="B1:I1"/>
    <mergeCell ref="B4:C4"/>
    <mergeCell ref="H3:I3"/>
    <mergeCell ref="B28:C28"/>
    <mergeCell ref="C5:D5"/>
    <mergeCell ref="C8:D8"/>
    <mergeCell ref="H27:I27"/>
    <mergeCell ref="B2:I2"/>
    <mergeCell ref="B3:F3"/>
    <mergeCell ref="C6:D6"/>
  </mergeCells>
  <printOptions/>
  <pageMargins left="0.75" right="0.75" top="1" bottom="1" header="0.492125985" footer="0.492125985"/>
  <pageSetup fitToHeight="1" fitToWidth="1" horizontalDpi="600" verticalDpi="600" orientation="landscape" paperSize="9" scale="7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H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63.28125" style="0" customWidth="1"/>
    <col min="4" max="4" width="17.8515625" style="0" customWidth="1"/>
    <col min="5" max="5" width="4.00390625" style="0" customWidth="1"/>
    <col min="6" max="6" width="17.8515625" style="0" customWidth="1"/>
    <col min="7" max="7" width="3.57421875" style="0" customWidth="1"/>
  </cols>
  <sheetData>
    <row r="1" spans="2:6" ht="13.5" thickBot="1">
      <c r="B1" s="439" t="s">
        <v>118</v>
      </c>
      <c r="C1" s="439"/>
      <c r="D1" s="439"/>
      <c r="E1" s="439"/>
      <c r="F1" s="439"/>
    </row>
    <row r="2" spans="2:6" ht="12.75">
      <c r="B2" s="382" t="str">
        <f>UPPER('MOB Vinc'!E5)</f>
        <v>ENCARREGADO</v>
      </c>
      <c r="C2" s="416"/>
      <c r="D2" s="416"/>
      <c r="E2" s="416"/>
      <c r="F2" s="432"/>
    </row>
    <row r="3" spans="2:6" ht="12.75">
      <c r="B3" s="433" t="s">
        <v>52</v>
      </c>
      <c r="C3" s="434"/>
      <c r="D3" s="434"/>
      <c r="E3" s="44"/>
      <c r="F3" s="111" t="s">
        <v>53</v>
      </c>
    </row>
    <row r="4" spans="2:6" ht="12.75">
      <c r="B4" s="435" t="s">
        <v>99</v>
      </c>
      <c r="C4" s="440"/>
      <c r="D4" s="96" t="s">
        <v>10</v>
      </c>
      <c r="E4" s="44"/>
      <c r="F4" s="149" t="s">
        <v>10</v>
      </c>
    </row>
    <row r="5" spans="2:6" ht="12.75" customHeight="1">
      <c r="B5" s="23" t="s">
        <v>101</v>
      </c>
      <c r="C5" s="112" t="s">
        <v>63</v>
      </c>
      <c r="D5" s="38">
        <f>'SMod 4.1'!E15</f>
        <v>0</v>
      </c>
      <c r="E5" s="44"/>
      <c r="F5" s="24">
        <f>'SMod 4.1'!H15</f>
        <v>0</v>
      </c>
    </row>
    <row r="6" spans="2:6" ht="12.75" customHeight="1">
      <c r="B6" s="75" t="s">
        <v>102</v>
      </c>
      <c r="C6" s="112" t="s">
        <v>104</v>
      </c>
      <c r="D6" s="38">
        <f>'SMod 4.2'!E10</f>
        <v>0</v>
      </c>
      <c r="E6" s="44"/>
      <c r="F6" s="24">
        <f>'SMod 4.2'!H10</f>
        <v>0</v>
      </c>
    </row>
    <row r="7" spans="2:8" ht="12.75" customHeight="1">
      <c r="B7" s="75" t="s">
        <v>103</v>
      </c>
      <c r="C7" s="112" t="s">
        <v>73</v>
      </c>
      <c r="D7" s="38">
        <f>'SMod 4.3'!F11</f>
        <v>0</v>
      </c>
      <c r="E7" s="44"/>
      <c r="F7" s="24">
        <f>'SMod 4.3'!I11</f>
        <v>0</v>
      </c>
      <c r="G7" s="89"/>
      <c r="H7" s="90"/>
    </row>
    <row r="8" spans="2:8" ht="12.75" customHeight="1">
      <c r="B8" s="75" t="s">
        <v>105</v>
      </c>
      <c r="C8" s="112" t="s">
        <v>106</v>
      </c>
      <c r="D8" s="38">
        <f>'SMod 4.4'!F18</f>
        <v>0</v>
      </c>
      <c r="E8" s="44"/>
      <c r="F8" s="24">
        <f>'SMod 4.4'!I18</f>
        <v>0</v>
      </c>
      <c r="G8" s="89"/>
      <c r="H8" s="90"/>
    </row>
    <row r="9" spans="2:8" ht="12.75" customHeight="1">
      <c r="B9" s="75" t="s">
        <v>107</v>
      </c>
      <c r="C9" s="112" t="s">
        <v>108</v>
      </c>
      <c r="D9" s="38" t="e">
        <f>'SMod 4.5'!F23</f>
        <v>#DIV/0!</v>
      </c>
      <c r="E9" s="44"/>
      <c r="F9" s="24" t="e">
        <f>'SMod 4.5'!I23</f>
        <v>#DIV/0!</v>
      </c>
      <c r="G9" s="89"/>
      <c r="H9" s="90"/>
    </row>
    <row r="10" spans="2:8" ht="12.75" customHeight="1">
      <c r="B10" s="75" t="s">
        <v>37</v>
      </c>
      <c r="C10" s="128" t="s">
        <v>44</v>
      </c>
      <c r="D10" s="38">
        <f>D12</f>
        <v>0</v>
      </c>
      <c r="E10" s="44"/>
      <c r="F10" s="24">
        <f>D12</f>
        <v>0</v>
      </c>
      <c r="G10" s="89"/>
      <c r="H10" s="90"/>
    </row>
    <row r="11" spans="2:8" ht="12.75" customHeight="1">
      <c r="B11" s="115"/>
      <c r="C11" s="39"/>
      <c r="D11" s="90"/>
      <c r="E11" s="44"/>
      <c r="F11" s="116"/>
      <c r="G11" s="89"/>
      <c r="H11" s="90"/>
    </row>
    <row r="12" spans="2:8" ht="12.75" customHeight="1">
      <c r="B12" s="115"/>
      <c r="C12" s="26" t="s">
        <v>109</v>
      </c>
      <c r="D12" s="144">
        <v>0</v>
      </c>
      <c r="E12" s="44"/>
      <c r="F12" s="116"/>
      <c r="G12" s="89"/>
      <c r="H12" s="90"/>
    </row>
    <row r="13" spans="2:6" ht="12" customHeight="1" thickBot="1">
      <c r="B13" s="64"/>
      <c r="C13" s="65"/>
      <c r="D13" s="66"/>
      <c r="E13" s="44"/>
      <c r="F13" s="73"/>
    </row>
    <row r="14" spans="2:6" ht="12.75" customHeight="1" thickBot="1">
      <c r="B14" s="398" t="s">
        <v>62</v>
      </c>
      <c r="C14" s="399"/>
      <c r="D14" s="139" t="e">
        <f>SUM(D5:D10)</f>
        <v>#DIV/0!</v>
      </c>
      <c r="E14" s="55"/>
      <c r="F14" s="139" t="e">
        <f>SUM(F5:F10)</f>
        <v>#DIV/0!</v>
      </c>
    </row>
    <row r="15" spans="2:6" s="43" customFormat="1" ht="12.75" customHeight="1">
      <c r="B15" s="98"/>
      <c r="C15" s="68"/>
      <c r="D15" s="69"/>
      <c r="E15" s="44"/>
      <c r="F15" s="69"/>
    </row>
    <row r="16" spans="1:6" ht="13.5" thickBot="1">
      <c r="A16" s="14"/>
      <c r="B16" s="70"/>
      <c r="C16" s="71"/>
      <c r="D16" s="72"/>
      <c r="E16" s="44"/>
      <c r="F16" s="72"/>
    </row>
    <row r="17" spans="2:6" ht="12.75">
      <c r="B17" s="382" t="str">
        <f>UPPER('MOB Vinc'!M5)</f>
        <v>SERVENTE DE LIMPEZA</v>
      </c>
      <c r="C17" s="416"/>
      <c r="D17" s="416"/>
      <c r="E17" s="416"/>
      <c r="F17" s="432"/>
    </row>
    <row r="18" spans="2:6" ht="12.75">
      <c r="B18" s="456" t="s">
        <v>52</v>
      </c>
      <c r="C18" s="457"/>
      <c r="D18" s="457"/>
      <c r="E18" s="44"/>
      <c r="F18" s="111" t="s">
        <v>53</v>
      </c>
    </row>
    <row r="19" spans="2:6" ht="12.75">
      <c r="B19" s="435" t="s">
        <v>99</v>
      </c>
      <c r="C19" s="440"/>
      <c r="D19" s="96" t="s">
        <v>10</v>
      </c>
      <c r="E19" s="44"/>
      <c r="F19" s="149" t="s">
        <v>10</v>
      </c>
    </row>
    <row r="20" spans="2:6" ht="12.75" customHeight="1">
      <c r="B20" s="23" t="s">
        <v>101</v>
      </c>
      <c r="C20" s="112" t="s">
        <v>63</v>
      </c>
      <c r="D20" s="38">
        <f>'SMod 4.1'!E30</f>
        <v>0</v>
      </c>
      <c r="E20" s="44"/>
      <c r="F20" s="24">
        <f>'SMod 4.1'!H30</f>
        <v>0</v>
      </c>
    </row>
    <row r="21" spans="2:6" ht="12.75" customHeight="1">
      <c r="B21" s="75" t="s">
        <v>102</v>
      </c>
      <c r="C21" s="112" t="s">
        <v>104</v>
      </c>
      <c r="D21" s="38">
        <f>'SMod 4.2'!E21</f>
        <v>0</v>
      </c>
      <c r="E21" s="44"/>
      <c r="F21" s="24">
        <f>'SMod 4.2'!H21</f>
        <v>0</v>
      </c>
    </row>
    <row r="22" spans="2:8" ht="12.75" customHeight="1">
      <c r="B22" s="75" t="s">
        <v>103</v>
      </c>
      <c r="C22" s="112" t="s">
        <v>73</v>
      </c>
      <c r="D22" s="38">
        <f>'SMod 4.3'!F23</f>
        <v>0</v>
      </c>
      <c r="E22" s="44"/>
      <c r="F22" s="24">
        <f>'SMod 4.3'!I23</f>
        <v>0</v>
      </c>
      <c r="G22" s="89"/>
      <c r="H22" s="90"/>
    </row>
    <row r="23" spans="2:8" ht="12.75" customHeight="1">
      <c r="B23" s="75" t="s">
        <v>105</v>
      </c>
      <c r="C23" s="112" t="s">
        <v>106</v>
      </c>
      <c r="D23" s="38">
        <f>'SMod 4.4'!F37</f>
        <v>0</v>
      </c>
      <c r="E23" s="44"/>
      <c r="F23" s="24">
        <f>'SMod 4.4'!I37</f>
        <v>0</v>
      </c>
      <c r="G23" s="89"/>
      <c r="H23" s="90"/>
    </row>
    <row r="24" spans="2:8" ht="12.75" customHeight="1">
      <c r="B24" s="75" t="s">
        <v>107</v>
      </c>
      <c r="C24" s="112" t="s">
        <v>108</v>
      </c>
      <c r="D24" s="38" t="e">
        <f>'SMod 4.5'!F47</f>
        <v>#DIV/0!</v>
      </c>
      <c r="E24" s="44"/>
      <c r="F24" s="24" t="e">
        <f>'SMod 4.5'!I47</f>
        <v>#DIV/0!</v>
      </c>
      <c r="G24" s="89"/>
      <c r="H24" s="90"/>
    </row>
    <row r="25" spans="2:8" ht="12.75" customHeight="1">
      <c r="B25" s="75" t="s">
        <v>37</v>
      </c>
      <c r="C25" s="128" t="s">
        <v>44</v>
      </c>
      <c r="D25" s="38">
        <f>D27</f>
        <v>0</v>
      </c>
      <c r="E25" s="44"/>
      <c r="F25" s="24">
        <f>D27</f>
        <v>0</v>
      </c>
      <c r="G25" s="89"/>
      <c r="H25" s="90"/>
    </row>
    <row r="26" spans="2:8" ht="12.75" customHeight="1">
      <c r="B26" s="115"/>
      <c r="C26" s="39"/>
      <c r="D26" s="90"/>
      <c r="E26" s="44"/>
      <c r="F26" s="116"/>
      <c r="G26" s="89"/>
      <c r="H26" s="90"/>
    </row>
    <row r="27" spans="2:8" ht="12.75" customHeight="1">
      <c r="B27" s="115"/>
      <c r="C27" s="26" t="s">
        <v>109</v>
      </c>
      <c r="D27" s="144">
        <v>0</v>
      </c>
      <c r="E27" s="44"/>
      <c r="F27" s="116"/>
      <c r="G27" s="89"/>
      <c r="H27" s="90"/>
    </row>
    <row r="28" spans="2:6" ht="12" customHeight="1" thickBot="1">
      <c r="B28" s="64"/>
      <c r="C28" s="65"/>
      <c r="D28" s="66"/>
      <c r="E28" s="44"/>
      <c r="F28" s="73"/>
    </row>
    <row r="29" spans="2:6" ht="12.75" customHeight="1" thickBot="1">
      <c r="B29" s="398" t="s">
        <v>62</v>
      </c>
      <c r="C29" s="399"/>
      <c r="D29" s="139" t="e">
        <f>SUM(D20:D25)</f>
        <v>#DIV/0!</v>
      </c>
      <c r="E29" s="55"/>
      <c r="F29" s="139" t="e">
        <f>SUM(F20:F25)</f>
        <v>#DIV/0!</v>
      </c>
    </row>
  </sheetData>
  <sheetProtection password="D667" sheet="1" objects="1" scenarios="1"/>
  <mergeCells count="9">
    <mergeCell ref="B29:C29"/>
    <mergeCell ref="B14:C14"/>
    <mergeCell ref="B17:F17"/>
    <mergeCell ref="B18:D18"/>
    <mergeCell ref="B19:C19"/>
    <mergeCell ref="B1:F1"/>
    <mergeCell ref="B4:C4"/>
    <mergeCell ref="B2:F2"/>
    <mergeCell ref="B3:D3"/>
  </mergeCells>
  <printOptions/>
  <pageMargins left="0.75" right="0.75" top="1" bottom="1" header="0.492125985" footer="0.49212598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I3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49.57421875" style="0" customWidth="1"/>
    <col min="4" max="4" width="9.57421875" style="0" customWidth="1"/>
    <col min="5" max="5" width="17.8515625" style="0" customWidth="1"/>
    <col min="6" max="6" width="4.00390625" style="0" customWidth="1"/>
    <col min="7" max="7" width="17.8515625" style="0" customWidth="1"/>
    <col min="8" max="8" width="3.57421875" style="0" customWidth="1"/>
  </cols>
  <sheetData>
    <row r="1" spans="2:7" ht="13.5" thickBot="1">
      <c r="B1" s="439" t="s">
        <v>121</v>
      </c>
      <c r="C1" s="439"/>
      <c r="D1" s="439"/>
      <c r="E1" s="439"/>
      <c r="F1" s="439"/>
      <c r="G1" s="439"/>
    </row>
    <row r="2" spans="2:7" ht="12.75">
      <c r="B2" s="382" t="str">
        <f>UPPER('MOB Vinc'!E5)</f>
        <v>ENCARREGADO</v>
      </c>
      <c r="C2" s="416"/>
      <c r="D2" s="416"/>
      <c r="E2" s="416"/>
      <c r="F2" s="416"/>
      <c r="G2" s="432"/>
    </row>
    <row r="3" spans="2:7" ht="12.75">
      <c r="B3" s="433" t="s">
        <v>52</v>
      </c>
      <c r="C3" s="434"/>
      <c r="D3" s="434"/>
      <c r="E3" s="434"/>
      <c r="F3" s="44"/>
      <c r="G3" s="111" t="s">
        <v>53</v>
      </c>
    </row>
    <row r="4" spans="2:7" ht="12.75">
      <c r="B4" s="435" t="s">
        <v>119</v>
      </c>
      <c r="C4" s="440"/>
      <c r="D4" s="109"/>
      <c r="E4" s="96" t="s">
        <v>10</v>
      </c>
      <c r="F4" s="44"/>
      <c r="G4" s="149" t="s">
        <v>10</v>
      </c>
    </row>
    <row r="5" spans="2:7" ht="12.75" customHeight="1">
      <c r="B5" s="23">
        <v>1</v>
      </c>
      <c r="C5" s="443" t="s">
        <v>5</v>
      </c>
      <c r="D5" s="444"/>
      <c r="E5" s="38">
        <f>'Mod 1'!H10</f>
        <v>0</v>
      </c>
      <c r="F5" s="44"/>
      <c r="G5" s="24">
        <f>'Mod 1'!H10</f>
        <v>0</v>
      </c>
    </row>
    <row r="6" spans="2:7" ht="12.75" customHeight="1">
      <c r="B6" s="75">
        <v>2</v>
      </c>
      <c r="C6" s="443" t="s">
        <v>43</v>
      </c>
      <c r="D6" s="444"/>
      <c r="E6" s="38">
        <f>'Mod 2'!E26</f>
        <v>0</v>
      </c>
      <c r="F6" s="44"/>
      <c r="G6" s="24">
        <f>'Mod 2'!E26</f>
        <v>0</v>
      </c>
    </row>
    <row r="7" spans="2:9" ht="12.75" customHeight="1">
      <c r="B7" s="75">
        <v>3</v>
      </c>
      <c r="C7" s="443" t="s">
        <v>46</v>
      </c>
      <c r="D7" s="444"/>
      <c r="E7" s="38">
        <f>'Mod 3'!G4/'Mod 3'!E11</f>
        <v>0</v>
      </c>
      <c r="F7" s="44"/>
      <c r="G7" s="24">
        <f>'Mod 3'!G4/'Mod 3'!E11</f>
        <v>0</v>
      </c>
      <c r="H7" s="89"/>
      <c r="I7" s="90"/>
    </row>
    <row r="8" spans="2:9" ht="12.75" customHeight="1">
      <c r="B8" s="75">
        <v>4</v>
      </c>
      <c r="C8" s="443" t="s">
        <v>100</v>
      </c>
      <c r="D8" s="444"/>
      <c r="E8" s="38" t="e">
        <f>'Mod 4'!D14</f>
        <v>#DIV/0!</v>
      </c>
      <c r="F8" s="44"/>
      <c r="G8" s="24" t="e">
        <f>'Mod 4'!F14</f>
        <v>#DIV/0!</v>
      </c>
      <c r="H8" s="89"/>
      <c r="I8" s="90"/>
    </row>
    <row r="9" spans="2:7" ht="12" customHeight="1" thickBot="1">
      <c r="B9" s="64"/>
      <c r="C9" s="65"/>
      <c r="D9" s="65"/>
      <c r="E9" s="66"/>
      <c r="F9" s="44"/>
      <c r="G9" s="73"/>
    </row>
    <row r="10" spans="2:7" ht="12.75" customHeight="1" thickBot="1">
      <c r="B10" s="398" t="s">
        <v>62</v>
      </c>
      <c r="C10" s="399"/>
      <c r="D10" s="458"/>
      <c r="E10" s="139" t="e">
        <f>SUM(E5:E8)</f>
        <v>#DIV/0!</v>
      </c>
      <c r="F10" s="55"/>
      <c r="G10" s="150" t="e">
        <f>SUM(G5:G8)</f>
        <v>#DIV/0!</v>
      </c>
    </row>
    <row r="11" spans="2:7" s="43" customFormat="1" ht="12.75" customHeight="1">
      <c r="B11" s="160"/>
      <c r="C11" s="68"/>
      <c r="D11" s="68"/>
      <c r="E11" s="69"/>
      <c r="F11" s="44"/>
      <c r="G11" s="161"/>
    </row>
    <row r="12" spans="2:7" ht="12.75">
      <c r="B12" s="459" t="s">
        <v>126</v>
      </c>
      <c r="C12" s="460"/>
      <c r="D12" s="460"/>
      <c r="E12" s="460"/>
      <c r="F12" s="460"/>
      <c r="G12" s="461"/>
    </row>
    <row r="13" spans="2:7" ht="12.75">
      <c r="B13" s="45"/>
      <c r="C13" s="462" t="s">
        <v>144</v>
      </c>
      <c r="D13" s="463"/>
      <c r="E13" s="47" t="s">
        <v>10</v>
      </c>
      <c r="F13" s="44"/>
      <c r="G13" s="149" t="s">
        <v>10</v>
      </c>
    </row>
    <row r="14" spans="2:7" ht="12.75" customHeight="1">
      <c r="B14" s="153" t="s">
        <v>7</v>
      </c>
      <c r="C14" s="464" t="s">
        <v>123</v>
      </c>
      <c r="D14" s="465"/>
      <c r="E14" s="154" t="e">
        <f>E10*D15/100</f>
        <v>#DIV/0!</v>
      </c>
      <c r="F14" s="44"/>
      <c r="G14" s="155" t="e">
        <f>G10*D15/100</f>
        <v>#DIV/0!</v>
      </c>
    </row>
    <row r="15" spans="2:7" ht="12" customHeight="1">
      <c r="B15" s="183"/>
      <c r="C15" s="26" t="s">
        <v>124</v>
      </c>
      <c r="D15" s="283"/>
      <c r="E15" s="72"/>
      <c r="F15" s="44"/>
      <c r="G15" s="162"/>
    </row>
    <row r="16" spans="2:7" ht="12.75" customHeight="1">
      <c r="B16" s="153" t="s">
        <v>11</v>
      </c>
      <c r="C16" s="464" t="s">
        <v>125</v>
      </c>
      <c r="D16" s="465"/>
      <c r="E16" s="154" t="e">
        <f>(E10+E14)*D17/100</f>
        <v>#DIV/0!</v>
      </c>
      <c r="F16" s="44"/>
      <c r="G16" s="155" t="e">
        <f>(G10+G14)*D17/100</f>
        <v>#DIV/0!</v>
      </c>
    </row>
    <row r="17" spans="2:7" ht="12" customHeight="1">
      <c r="B17" s="183"/>
      <c r="C17" s="26" t="s">
        <v>124</v>
      </c>
      <c r="D17" s="283"/>
      <c r="E17" s="72"/>
      <c r="F17" s="44"/>
      <c r="G17" s="162"/>
    </row>
    <row r="18" spans="2:7" s="35" customFormat="1" ht="12" customHeight="1" thickBot="1">
      <c r="B18" s="156"/>
      <c r="C18" s="32"/>
      <c r="D18" s="157"/>
      <c r="E18" s="158"/>
      <c r="F18" s="33"/>
      <c r="G18" s="163"/>
    </row>
    <row r="19" spans="2:7" ht="12.75" customHeight="1" thickBot="1">
      <c r="B19" s="398" t="s">
        <v>62</v>
      </c>
      <c r="C19" s="399"/>
      <c r="D19" s="400"/>
      <c r="E19" s="67" t="e">
        <f>E16+E14</f>
        <v>#DIV/0!</v>
      </c>
      <c r="F19" s="55"/>
      <c r="G19" s="159" t="e">
        <f>G16+G14</f>
        <v>#DIV/0!</v>
      </c>
    </row>
    <row r="20" spans="1:7" ht="13.5" thickBot="1">
      <c r="A20" s="14"/>
      <c r="B20" s="70"/>
      <c r="C20" s="71"/>
      <c r="D20" s="71"/>
      <c r="E20" s="72"/>
      <c r="F20" s="44"/>
      <c r="G20" s="72"/>
    </row>
    <row r="21" spans="2:7" ht="12.75">
      <c r="B21" s="382" t="str">
        <f>UPPER('MOB Vinc'!M5)</f>
        <v>SERVENTE DE LIMPEZA</v>
      </c>
      <c r="C21" s="416"/>
      <c r="D21" s="416"/>
      <c r="E21" s="416"/>
      <c r="F21" s="416"/>
      <c r="G21" s="432"/>
    </row>
    <row r="22" spans="2:7" ht="12.75">
      <c r="B22" s="456" t="s">
        <v>52</v>
      </c>
      <c r="C22" s="457"/>
      <c r="D22" s="457"/>
      <c r="E22" s="457"/>
      <c r="F22" s="44"/>
      <c r="G22" s="111" t="s">
        <v>53</v>
      </c>
    </row>
    <row r="23" spans="2:7" ht="12.75">
      <c r="B23" s="435" t="s">
        <v>119</v>
      </c>
      <c r="C23" s="440"/>
      <c r="D23" s="109"/>
      <c r="E23" s="96" t="s">
        <v>10</v>
      </c>
      <c r="F23" s="44"/>
      <c r="G23" s="149" t="s">
        <v>10</v>
      </c>
    </row>
    <row r="24" spans="2:7" ht="12.75" customHeight="1">
      <c r="B24" s="23">
        <v>1</v>
      </c>
      <c r="C24" s="112" t="s">
        <v>5</v>
      </c>
      <c r="D24" s="112"/>
      <c r="E24" s="38">
        <f>'Mod 1'!Q10</f>
        <v>0</v>
      </c>
      <c r="F24" s="44"/>
      <c r="G24" s="24">
        <f>'Mod 1'!Q10</f>
        <v>0</v>
      </c>
    </row>
    <row r="25" spans="2:7" ht="12.75" customHeight="1">
      <c r="B25" s="75">
        <v>2</v>
      </c>
      <c r="C25" s="112" t="s">
        <v>43</v>
      </c>
      <c r="D25" s="112"/>
      <c r="E25" s="38">
        <f>'Mod 2'!E52</f>
        <v>0</v>
      </c>
      <c r="F25" s="44"/>
      <c r="G25" s="24">
        <f>'Mod 2'!E52</f>
        <v>0</v>
      </c>
    </row>
    <row r="26" spans="2:9" ht="12.75" customHeight="1">
      <c r="B26" s="75">
        <v>3</v>
      </c>
      <c r="C26" s="112" t="s">
        <v>46</v>
      </c>
      <c r="D26" s="112"/>
      <c r="E26" s="38">
        <f>'Mod 3'!G34</f>
        <v>0</v>
      </c>
      <c r="F26" s="44"/>
      <c r="G26" s="24">
        <f>'Mod 3'!G34</f>
        <v>0</v>
      </c>
      <c r="H26" s="89"/>
      <c r="I26" s="90"/>
    </row>
    <row r="27" spans="2:9" ht="12.75" customHeight="1">
      <c r="B27" s="75">
        <v>4</v>
      </c>
      <c r="C27" s="112" t="s">
        <v>100</v>
      </c>
      <c r="D27" s="112"/>
      <c r="E27" s="38" t="e">
        <f>'Mod 4'!D29</f>
        <v>#DIV/0!</v>
      </c>
      <c r="F27" s="44"/>
      <c r="G27" s="24" t="e">
        <f>'Mod 4'!F29</f>
        <v>#DIV/0!</v>
      </c>
      <c r="H27" s="89"/>
      <c r="I27" s="90"/>
    </row>
    <row r="28" spans="2:7" ht="12" customHeight="1" thickBot="1">
      <c r="B28" s="64"/>
      <c r="C28" s="65"/>
      <c r="D28" s="65"/>
      <c r="E28" s="66"/>
      <c r="F28" s="44"/>
      <c r="G28" s="73"/>
    </row>
    <row r="29" spans="2:7" ht="12.75" customHeight="1" thickBot="1">
      <c r="B29" s="398" t="s">
        <v>62</v>
      </c>
      <c r="C29" s="399"/>
      <c r="D29" s="458"/>
      <c r="E29" s="139" t="e">
        <f>SUM(E24:E27)</f>
        <v>#DIV/0!</v>
      </c>
      <c r="F29" s="55"/>
      <c r="G29" s="150" t="e">
        <f>SUM(G24:G27)</f>
        <v>#DIV/0!</v>
      </c>
    </row>
    <row r="30" spans="2:7" ht="12.75">
      <c r="B30" s="13"/>
      <c r="C30" s="14"/>
      <c r="D30" s="14"/>
      <c r="E30" s="14"/>
      <c r="F30" s="14"/>
      <c r="G30" s="30"/>
    </row>
    <row r="31" spans="2:7" ht="12.75">
      <c r="B31" s="459" t="s">
        <v>126</v>
      </c>
      <c r="C31" s="460"/>
      <c r="D31" s="460"/>
      <c r="E31" s="460"/>
      <c r="F31" s="460"/>
      <c r="G31" s="461"/>
    </row>
    <row r="32" spans="2:7" ht="12.75">
      <c r="B32" s="45"/>
      <c r="C32" s="462" t="s">
        <v>122</v>
      </c>
      <c r="D32" s="463"/>
      <c r="E32" s="47" t="s">
        <v>10</v>
      </c>
      <c r="F32" s="44"/>
      <c r="G32" s="149" t="s">
        <v>10</v>
      </c>
    </row>
    <row r="33" spans="2:7" ht="12.75" customHeight="1">
      <c r="B33" s="153" t="s">
        <v>7</v>
      </c>
      <c r="C33" s="464" t="s">
        <v>123</v>
      </c>
      <c r="D33" s="465"/>
      <c r="E33" s="154" t="e">
        <f>E29*D15/100</f>
        <v>#DIV/0!</v>
      </c>
      <c r="F33" s="44"/>
      <c r="G33" s="155" t="e">
        <f>G29*D15/100</f>
        <v>#DIV/0!</v>
      </c>
    </row>
    <row r="34" spans="2:7" ht="12.75" customHeight="1">
      <c r="B34" s="153" t="s">
        <v>11</v>
      </c>
      <c r="C34" s="464" t="s">
        <v>125</v>
      </c>
      <c r="D34" s="465"/>
      <c r="E34" s="154" t="e">
        <f>(E29+E33)*D17/100</f>
        <v>#DIV/0!</v>
      </c>
      <c r="F34" s="44"/>
      <c r="G34" s="155" t="e">
        <f>(G29+G33)*D17/100</f>
        <v>#DIV/0!</v>
      </c>
    </row>
    <row r="35" spans="2:7" s="35" customFormat="1" ht="12" customHeight="1" thickBot="1">
      <c r="B35" s="156"/>
      <c r="C35" s="32"/>
      <c r="D35" s="157"/>
      <c r="E35" s="158"/>
      <c r="F35" s="33"/>
      <c r="G35" s="163"/>
    </row>
    <row r="36" spans="2:7" ht="12.75" customHeight="1" thickBot="1">
      <c r="B36" s="398" t="s">
        <v>62</v>
      </c>
      <c r="C36" s="399"/>
      <c r="D36" s="400"/>
      <c r="E36" s="67" t="e">
        <f>E34+E33</f>
        <v>#DIV/0!</v>
      </c>
      <c r="F36" s="55"/>
      <c r="G36" s="159" t="e">
        <f>G34+G33</f>
        <v>#DIV/0!</v>
      </c>
    </row>
  </sheetData>
  <sheetProtection password="D667" sheet="1"/>
  <mergeCells count="23">
    <mergeCell ref="C5:D5"/>
    <mergeCell ref="B1:G1"/>
    <mergeCell ref="B4:C4"/>
    <mergeCell ref="B2:G2"/>
    <mergeCell ref="B3:E3"/>
    <mergeCell ref="C34:D34"/>
    <mergeCell ref="B19:D19"/>
    <mergeCell ref="C6:D6"/>
    <mergeCell ref="C7:D7"/>
    <mergeCell ref="C8:D8"/>
    <mergeCell ref="C13:D13"/>
    <mergeCell ref="B10:D10"/>
    <mergeCell ref="C33:D33"/>
    <mergeCell ref="B36:D36"/>
    <mergeCell ref="B29:D29"/>
    <mergeCell ref="B12:G12"/>
    <mergeCell ref="B31:G31"/>
    <mergeCell ref="C32:D32"/>
    <mergeCell ref="B21:G21"/>
    <mergeCell ref="B22:E22"/>
    <mergeCell ref="B23:C23"/>
    <mergeCell ref="C14:D14"/>
    <mergeCell ref="C16:D16"/>
  </mergeCells>
  <printOptions/>
  <pageMargins left="0.75" right="0.75" top="1" bottom="1" header="0.492125985" footer="0.49212598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3">
    <pageSetUpPr fitToPage="1"/>
  </sheetPr>
  <dimension ref="B1:I45"/>
  <sheetViews>
    <sheetView showGridLines="0" zoomScale="85" zoomScaleNormal="85" zoomScalePageLayoutView="0" workbookViewId="0" topLeftCell="A1">
      <selection activeCell="I20" sqref="I20"/>
    </sheetView>
  </sheetViews>
  <sheetFormatPr defaultColWidth="9.140625" defaultRowHeight="12.75"/>
  <cols>
    <col min="1" max="1" width="7.00390625" style="0" customWidth="1"/>
    <col min="2" max="2" width="6.28125" style="0" customWidth="1"/>
    <col min="3" max="3" width="40.57421875" style="0" customWidth="1"/>
    <col min="4" max="4" width="14.28125" style="0" customWidth="1"/>
    <col min="5" max="5" width="10.57421875" style="0" customWidth="1"/>
    <col min="6" max="6" width="4.140625" style="0" customWidth="1"/>
    <col min="8" max="8" width="34.421875" style="0" customWidth="1"/>
    <col min="9" max="9" width="10.57421875" style="0" customWidth="1"/>
  </cols>
  <sheetData>
    <row r="1" spans="2:9" ht="13.5" thickBot="1">
      <c r="B1" s="460" t="s">
        <v>142</v>
      </c>
      <c r="C1" s="460"/>
      <c r="D1" s="460"/>
      <c r="E1" s="460"/>
      <c r="F1" s="460"/>
      <c r="G1" s="460"/>
      <c r="H1" s="460"/>
      <c r="I1" s="460"/>
    </row>
    <row r="2" spans="2:9" ht="12.75">
      <c r="B2" s="376" t="str">
        <f>UPPER('MOB Vinc'!E5)</f>
        <v>ENCARREGADO</v>
      </c>
      <c r="C2" s="377"/>
      <c r="D2" s="377"/>
      <c r="E2" s="378"/>
      <c r="F2" s="164"/>
      <c r="G2" s="376" t="str">
        <f>UPPER('MOB Vinc'!M5)</f>
        <v>SERVENTE DE LIMPEZA</v>
      </c>
      <c r="H2" s="377"/>
      <c r="I2" s="378"/>
    </row>
    <row r="3" spans="2:9" ht="12.75">
      <c r="B3" s="469" t="s">
        <v>127</v>
      </c>
      <c r="C3" s="470"/>
      <c r="D3" s="165" t="s">
        <v>21</v>
      </c>
      <c r="E3" s="166" t="s">
        <v>10</v>
      </c>
      <c r="G3" s="469" t="s">
        <v>127</v>
      </c>
      <c r="H3" s="470"/>
      <c r="I3" s="166" t="s">
        <v>10</v>
      </c>
    </row>
    <row r="4" spans="2:9" ht="12.75">
      <c r="B4" s="145" t="s">
        <v>7</v>
      </c>
      <c r="C4" s="466" t="s">
        <v>128</v>
      </c>
      <c r="D4" s="466"/>
      <c r="E4" s="168" t="e">
        <f>('CO e Lucro'!E10+'CO e Lucro'!E19)/D8*D5/100</f>
        <v>#DIV/0!</v>
      </c>
      <c r="G4" s="145" t="s">
        <v>7</v>
      </c>
      <c r="H4" s="167" t="s">
        <v>128</v>
      </c>
      <c r="I4" s="168" t="e">
        <f>('CO e Lucro'!E29+'CO e Lucro'!E36)/D8*D5/100</f>
        <v>#DIV/0!</v>
      </c>
    </row>
    <row r="5" spans="2:9" ht="12.75">
      <c r="B5" s="25"/>
      <c r="C5" s="26" t="s">
        <v>129</v>
      </c>
      <c r="D5" s="29">
        <v>0.65</v>
      </c>
      <c r="E5" s="28"/>
      <c r="G5" s="25"/>
      <c r="H5" s="169"/>
      <c r="I5" s="28"/>
    </row>
    <row r="6" spans="2:9" ht="12.75">
      <c r="B6" s="25"/>
      <c r="C6" s="26" t="s">
        <v>130</v>
      </c>
      <c r="D6" s="29">
        <v>3</v>
      </c>
      <c r="E6" s="28"/>
      <c r="G6" s="25"/>
      <c r="H6" s="169"/>
      <c r="I6" s="28"/>
    </row>
    <row r="7" spans="2:9" ht="12.75">
      <c r="B7" s="25"/>
      <c r="C7" s="26" t="s">
        <v>131</v>
      </c>
      <c r="D7" s="29">
        <v>5</v>
      </c>
      <c r="E7" s="28"/>
      <c r="G7" s="25"/>
      <c r="H7" s="169"/>
      <c r="I7" s="28"/>
    </row>
    <row r="8" spans="2:9" ht="12.75">
      <c r="B8" s="25"/>
      <c r="C8" s="26" t="s">
        <v>132</v>
      </c>
      <c r="D8" s="170">
        <f>1-(D5+D6+D7)/100</f>
        <v>0.9135</v>
      </c>
      <c r="E8" s="28"/>
      <c r="G8" s="25"/>
      <c r="H8" s="169"/>
      <c r="I8" s="28"/>
    </row>
    <row r="9" spans="2:9" ht="12.75">
      <c r="B9" s="23" t="s">
        <v>11</v>
      </c>
      <c r="C9" s="381" t="s">
        <v>133</v>
      </c>
      <c r="D9" s="381"/>
      <c r="E9" s="168" t="e">
        <f>('CO e Lucro'!E10+'CO e Lucro'!E19)/D8*D6/100</f>
        <v>#DIV/0!</v>
      </c>
      <c r="G9" s="23" t="s">
        <v>11</v>
      </c>
      <c r="H9" s="110" t="s">
        <v>133</v>
      </c>
      <c r="I9" s="168" t="e">
        <f>('CO e Lucro'!E29+'CO e Lucro'!E36)/D8*D6/100</f>
        <v>#DIV/0!</v>
      </c>
    </row>
    <row r="10" spans="2:9" ht="12.75">
      <c r="B10" s="23" t="s">
        <v>13</v>
      </c>
      <c r="C10" s="381" t="s">
        <v>134</v>
      </c>
      <c r="D10" s="381"/>
      <c r="E10" s="168" t="e">
        <f>('CO e Lucro'!E10+'CO e Lucro'!E19)/D8*D7/100</f>
        <v>#DIV/0!</v>
      </c>
      <c r="G10" s="23" t="s">
        <v>13</v>
      </c>
      <c r="H10" s="110" t="s">
        <v>134</v>
      </c>
      <c r="I10" s="168" t="e">
        <f>('CO e Lucro'!E29+'CO e Lucro'!E36)/D8*D7/100</f>
        <v>#DIV/0!</v>
      </c>
    </row>
    <row r="11" spans="2:9" s="35" customFormat="1" ht="13.5" thickBot="1">
      <c r="B11" s="31"/>
      <c r="C11" s="32"/>
      <c r="D11" s="33"/>
      <c r="E11" s="34"/>
      <c r="G11" s="31"/>
      <c r="H11" s="32"/>
      <c r="I11" s="34"/>
    </row>
    <row r="12" spans="2:9" ht="13.5" thickBot="1">
      <c r="B12" s="398" t="s">
        <v>135</v>
      </c>
      <c r="C12" s="399"/>
      <c r="D12" s="400"/>
      <c r="E12" s="148" t="e">
        <f>SUM(E4:E10)</f>
        <v>#DIV/0!</v>
      </c>
      <c r="G12" s="398" t="s">
        <v>135</v>
      </c>
      <c r="H12" s="399"/>
      <c r="I12" s="148" t="e">
        <f>SUM(I4:I10)</f>
        <v>#DIV/0!</v>
      </c>
    </row>
    <row r="13" spans="2:9" ht="12.75">
      <c r="B13" s="13"/>
      <c r="C13" s="14"/>
      <c r="D13" s="14"/>
      <c r="E13" s="30"/>
      <c r="G13" s="13"/>
      <c r="H13" s="14"/>
      <c r="I13" s="30"/>
    </row>
    <row r="14" spans="2:9" ht="12.75">
      <c r="B14" s="471" t="s">
        <v>136</v>
      </c>
      <c r="C14" s="472"/>
      <c r="D14" s="171" t="s">
        <v>21</v>
      </c>
      <c r="E14" s="172" t="s">
        <v>10</v>
      </c>
      <c r="G14" s="471" t="s">
        <v>136</v>
      </c>
      <c r="H14" s="472"/>
      <c r="I14" s="172" t="s">
        <v>10</v>
      </c>
    </row>
    <row r="15" spans="2:9" ht="12.75">
      <c r="B15" s="145" t="s">
        <v>7</v>
      </c>
      <c r="C15" s="466" t="s">
        <v>128</v>
      </c>
      <c r="D15" s="466"/>
      <c r="E15" s="168" t="e">
        <f>('CO e Lucro'!E10+'CO e Lucro'!E19)/D19*D16/100</f>
        <v>#DIV/0!</v>
      </c>
      <c r="G15" s="145" t="s">
        <v>7</v>
      </c>
      <c r="H15" s="167" t="s">
        <v>128</v>
      </c>
      <c r="I15" s="168" t="e">
        <f>('CO e Lucro'!E29+'CO e Lucro'!E36)/D19*D16/100</f>
        <v>#DIV/0!</v>
      </c>
    </row>
    <row r="16" spans="2:9" ht="12.75">
      <c r="B16" s="25"/>
      <c r="C16" s="26" t="s">
        <v>129</v>
      </c>
      <c r="D16" s="29">
        <v>1.65</v>
      </c>
      <c r="E16" s="28"/>
      <c r="G16" s="25"/>
      <c r="H16" s="169"/>
      <c r="I16" s="28"/>
    </row>
    <row r="17" spans="2:9" ht="12.75">
      <c r="B17" s="25"/>
      <c r="C17" s="26" t="s">
        <v>130</v>
      </c>
      <c r="D17" s="29">
        <v>7.6</v>
      </c>
      <c r="E17" s="28"/>
      <c r="G17" s="25"/>
      <c r="H17" s="169"/>
      <c r="I17" s="28"/>
    </row>
    <row r="18" spans="2:9" ht="12.75">
      <c r="B18" s="25"/>
      <c r="C18" s="26" t="s">
        <v>131</v>
      </c>
      <c r="D18" s="29">
        <v>5</v>
      </c>
      <c r="E18" s="28"/>
      <c r="G18" s="25"/>
      <c r="H18" s="169"/>
      <c r="I18" s="28"/>
    </row>
    <row r="19" spans="2:9" ht="12.75">
      <c r="B19" s="25"/>
      <c r="C19" s="26" t="s">
        <v>132</v>
      </c>
      <c r="D19" s="170">
        <f>1-(D16+D17+D18)/100</f>
        <v>0.8575</v>
      </c>
      <c r="E19" s="28"/>
      <c r="G19" s="25"/>
      <c r="H19" s="169"/>
      <c r="I19" s="28"/>
    </row>
    <row r="20" spans="2:9" ht="12.75">
      <c r="B20" s="23" t="s">
        <v>11</v>
      </c>
      <c r="C20" s="381" t="s">
        <v>133</v>
      </c>
      <c r="D20" s="381"/>
      <c r="E20" s="168" t="e">
        <f>('CO e Lucro'!E10+'CO e Lucro'!E19)/D19*D17/100</f>
        <v>#DIV/0!</v>
      </c>
      <c r="G20" s="23" t="s">
        <v>11</v>
      </c>
      <c r="H20" s="110" t="s">
        <v>133</v>
      </c>
      <c r="I20" s="168" t="e">
        <f>('CO e Lucro'!E29+'CO e Lucro'!E36)/D19*D17/100</f>
        <v>#DIV/0!</v>
      </c>
    </row>
    <row r="21" spans="2:9" ht="12.75">
      <c r="B21" s="23" t="s">
        <v>13</v>
      </c>
      <c r="C21" s="381" t="s">
        <v>134</v>
      </c>
      <c r="D21" s="381"/>
      <c r="E21" s="168" t="e">
        <f>('CO e Lucro'!E10+'CO e Lucro'!E19)/D19*D18/100</f>
        <v>#DIV/0!</v>
      </c>
      <c r="G21" s="23" t="s">
        <v>13</v>
      </c>
      <c r="H21" s="110" t="s">
        <v>134</v>
      </c>
      <c r="I21" s="168" t="e">
        <f>('CO e Lucro'!E29+'CO e Lucro'!E36)/D19*D18/100</f>
        <v>#DIV/0!</v>
      </c>
    </row>
    <row r="22" spans="2:9" ht="13.5" thickBot="1">
      <c r="B22" s="31"/>
      <c r="C22" s="32"/>
      <c r="D22" s="33"/>
      <c r="E22" s="34"/>
      <c r="G22" s="31"/>
      <c r="H22" s="32"/>
      <c r="I22" s="34"/>
    </row>
    <row r="23" spans="2:9" ht="13.5" thickBot="1">
      <c r="B23" s="398" t="s">
        <v>135</v>
      </c>
      <c r="C23" s="399"/>
      <c r="D23" s="400"/>
      <c r="E23" s="148" t="e">
        <f>SUM(E15:E21)</f>
        <v>#DIV/0!</v>
      </c>
      <c r="G23" s="398" t="s">
        <v>135</v>
      </c>
      <c r="H23" s="399"/>
      <c r="I23" s="148" t="e">
        <f>SUM(I15:I21)</f>
        <v>#DIV/0!</v>
      </c>
    </row>
    <row r="24" spans="2:9" ht="12.75">
      <c r="B24" s="13"/>
      <c r="C24" s="14"/>
      <c r="D24" s="14"/>
      <c r="E24" s="30"/>
      <c r="G24" s="13"/>
      <c r="H24" s="14"/>
      <c r="I24" s="30"/>
    </row>
    <row r="25" spans="2:9" ht="12.75">
      <c r="B25" s="467" t="s">
        <v>53</v>
      </c>
      <c r="C25" s="468"/>
      <c r="D25" s="173" t="s">
        <v>21</v>
      </c>
      <c r="E25" s="174" t="s">
        <v>10</v>
      </c>
      <c r="G25" s="467" t="s">
        <v>53</v>
      </c>
      <c r="H25" s="468"/>
      <c r="I25" s="174" t="s">
        <v>10</v>
      </c>
    </row>
    <row r="26" spans="2:9" ht="12.75">
      <c r="B26" s="145" t="s">
        <v>7</v>
      </c>
      <c r="C26" s="466" t="s">
        <v>53</v>
      </c>
      <c r="D26" s="466"/>
      <c r="E26" s="175" t="e">
        <f>('CO e Lucro'!G10+'CO e Lucro'!G19)/D34*D33/100</f>
        <v>#DIV/0!</v>
      </c>
      <c r="G26" s="145" t="s">
        <v>7</v>
      </c>
      <c r="H26" s="167" t="s">
        <v>53</v>
      </c>
      <c r="I26" s="175" t="e">
        <f>('CO e Lucro'!G29+'CO e Lucro'!G36)/D34*D33/100</f>
        <v>#DIV/0!</v>
      </c>
    </row>
    <row r="27" spans="2:9" ht="12.75">
      <c r="B27" s="25"/>
      <c r="C27" s="26" t="s">
        <v>250</v>
      </c>
      <c r="D27" s="27">
        <v>1620000.01</v>
      </c>
      <c r="E27" s="28"/>
      <c r="G27" s="25"/>
      <c r="H27" s="169"/>
      <c r="I27" s="28"/>
    </row>
    <row r="28" spans="2:9" ht="12.75">
      <c r="B28" s="25"/>
      <c r="C28" s="26" t="s">
        <v>251</v>
      </c>
      <c r="D28" s="27">
        <v>1800000</v>
      </c>
      <c r="E28" s="28"/>
      <c r="G28" s="25"/>
      <c r="H28" s="169"/>
      <c r="I28" s="28"/>
    </row>
    <row r="29" spans="2:9" ht="12.75">
      <c r="B29" s="25"/>
      <c r="C29" s="26" t="s">
        <v>137</v>
      </c>
      <c r="D29" s="176">
        <v>12</v>
      </c>
      <c r="E29" s="28"/>
      <c r="G29" s="25"/>
      <c r="H29" s="169"/>
      <c r="I29" s="28"/>
    </row>
    <row r="30" spans="2:9" ht="12.75">
      <c r="B30" s="25"/>
      <c r="C30" s="26" t="s">
        <v>138</v>
      </c>
      <c r="D30" s="27">
        <v>2.74</v>
      </c>
      <c r="E30" s="28"/>
      <c r="G30" s="25"/>
      <c r="H30" s="169"/>
      <c r="I30" s="28"/>
    </row>
    <row r="31" spans="2:9" ht="12.75">
      <c r="B31" s="25"/>
      <c r="C31" s="26" t="s">
        <v>139</v>
      </c>
      <c r="D31" s="27">
        <v>2</v>
      </c>
      <c r="E31" s="28"/>
      <c r="G31" s="25"/>
      <c r="H31" s="169"/>
      <c r="I31" s="28"/>
    </row>
    <row r="32" spans="2:9" ht="12.75">
      <c r="B32" s="25"/>
      <c r="C32" s="26" t="s">
        <v>140</v>
      </c>
      <c r="D32" s="27">
        <v>4.65</v>
      </c>
      <c r="E32" s="28"/>
      <c r="G32" s="25"/>
      <c r="H32" s="169"/>
      <c r="I32" s="28"/>
    </row>
    <row r="33" spans="2:9" ht="12.75">
      <c r="B33" s="25"/>
      <c r="C33" s="26" t="s">
        <v>141</v>
      </c>
      <c r="D33" s="177">
        <f>D29-D30-D31</f>
        <v>7.26</v>
      </c>
      <c r="E33" s="28"/>
      <c r="G33" s="25"/>
      <c r="H33" s="169"/>
      <c r="I33" s="28"/>
    </row>
    <row r="34" spans="2:9" ht="12.75">
      <c r="B34" s="25"/>
      <c r="C34" s="26" t="s">
        <v>132</v>
      </c>
      <c r="D34" s="178">
        <f>1-(D33)/100</f>
        <v>0.9274</v>
      </c>
      <c r="E34" s="28"/>
      <c r="G34" s="25"/>
      <c r="H34" s="169"/>
      <c r="I34" s="28"/>
    </row>
    <row r="35" spans="2:9" ht="12.75">
      <c r="B35" s="23" t="s">
        <v>11</v>
      </c>
      <c r="C35" s="381" t="s">
        <v>134</v>
      </c>
      <c r="D35" s="381"/>
      <c r="E35" s="168" t="e">
        <f>('CO e Lucro'!G10+'CO e Lucro'!G19)/D34*D32/100</f>
        <v>#DIV/0!</v>
      </c>
      <c r="G35" s="23" t="s">
        <v>11</v>
      </c>
      <c r="H35" s="110" t="s">
        <v>134</v>
      </c>
      <c r="I35" s="168" t="e">
        <f>('CO e Lucro'!G29+'CO e Lucro'!G36)/D34*D32/100</f>
        <v>#DIV/0!</v>
      </c>
    </row>
    <row r="36" spans="2:9" ht="13.5" thickBot="1">
      <c r="B36" s="31"/>
      <c r="C36" s="32"/>
      <c r="D36" s="33"/>
      <c r="E36" s="34"/>
      <c r="G36" s="31"/>
      <c r="H36" s="32"/>
      <c r="I36" s="34"/>
    </row>
    <row r="37" spans="2:9" ht="13.5" thickBot="1">
      <c r="B37" s="398" t="s">
        <v>135</v>
      </c>
      <c r="C37" s="399"/>
      <c r="D37" s="400"/>
      <c r="E37" s="148" t="e">
        <f>E35+E26</f>
        <v>#DIV/0!</v>
      </c>
      <c r="G37" s="398" t="s">
        <v>135</v>
      </c>
      <c r="H37" s="399"/>
      <c r="I37" s="148" t="e">
        <f>I35+I26</f>
        <v>#DIV/0!</v>
      </c>
    </row>
    <row r="39" ht="12.75">
      <c r="I39" s="5"/>
    </row>
    <row r="41" ht="12.75">
      <c r="H41" s="5"/>
    </row>
    <row r="45" ht="12.75">
      <c r="D45" s="5"/>
    </row>
  </sheetData>
  <sheetProtection password="D667" sheet="1" objects="1" scenarios="1"/>
  <mergeCells count="23">
    <mergeCell ref="B1:I1"/>
    <mergeCell ref="G3:H3"/>
    <mergeCell ref="G25:H25"/>
    <mergeCell ref="C9:D9"/>
    <mergeCell ref="C10:D10"/>
    <mergeCell ref="B12:D12"/>
    <mergeCell ref="C20:D20"/>
    <mergeCell ref="C35:D35"/>
    <mergeCell ref="B37:D37"/>
    <mergeCell ref="C15:D15"/>
    <mergeCell ref="G12:H12"/>
    <mergeCell ref="G14:H14"/>
    <mergeCell ref="G23:H23"/>
    <mergeCell ref="G37:H37"/>
    <mergeCell ref="B14:C14"/>
    <mergeCell ref="C21:D21"/>
    <mergeCell ref="B23:D23"/>
    <mergeCell ref="C26:D26"/>
    <mergeCell ref="B2:E2"/>
    <mergeCell ref="G2:I2"/>
    <mergeCell ref="B25:C25"/>
    <mergeCell ref="C4:D4"/>
    <mergeCell ref="B3:C3"/>
  </mergeCells>
  <printOptions/>
  <pageMargins left="0.75" right="0.75" top="1" bottom="1" header="0.492125985" footer="0.492125985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H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21.7109375" style="0" customWidth="1"/>
    <col min="4" max="4" width="17.00390625" style="0" customWidth="1"/>
    <col min="5" max="5" width="3.7109375" style="0" customWidth="1"/>
    <col min="6" max="6" width="17.00390625" style="0" customWidth="1"/>
    <col min="7" max="7" width="3.7109375" style="0" customWidth="1"/>
    <col min="8" max="8" width="17.00390625" style="0" customWidth="1"/>
  </cols>
  <sheetData>
    <row r="1" spans="2:8" ht="13.5" thickBot="1">
      <c r="B1" s="460" t="s">
        <v>120</v>
      </c>
      <c r="C1" s="460"/>
      <c r="D1" s="460"/>
      <c r="E1" s="460"/>
      <c r="F1" s="460"/>
      <c r="G1" s="460"/>
      <c r="H1" s="460"/>
    </row>
    <row r="2" spans="2:8" ht="12.75">
      <c r="B2" s="382" t="str">
        <f>UPPER('MOB Vinc'!E5)</f>
        <v>ENCARREGADO</v>
      </c>
      <c r="C2" s="416"/>
      <c r="D2" s="416"/>
      <c r="E2" s="416"/>
      <c r="F2" s="416"/>
      <c r="G2" s="416"/>
      <c r="H2" s="432"/>
    </row>
    <row r="3" spans="2:8" ht="12.75">
      <c r="B3" s="473" t="s">
        <v>127</v>
      </c>
      <c r="C3" s="474"/>
      <c r="D3" s="475"/>
      <c r="E3" s="44"/>
      <c r="F3" s="171" t="s">
        <v>136</v>
      </c>
      <c r="G3" s="180"/>
      <c r="H3" s="174" t="s">
        <v>53</v>
      </c>
    </row>
    <row r="4" spans="2:8" ht="12.75">
      <c r="B4" s="476" t="s">
        <v>144</v>
      </c>
      <c r="C4" s="477"/>
      <c r="D4" s="47" t="s">
        <v>10</v>
      </c>
      <c r="E4" s="44"/>
      <c r="F4" s="47" t="s">
        <v>10</v>
      </c>
      <c r="G4" s="14"/>
      <c r="H4" s="149" t="s">
        <v>10</v>
      </c>
    </row>
    <row r="5" spans="2:8" ht="12.75" customHeight="1">
      <c r="B5" s="23" t="s">
        <v>7</v>
      </c>
      <c r="C5" s="179" t="s">
        <v>143</v>
      </c>
      <c r="D5" s="38" t="e">
        <f>'CO e Lucro'!E14</f>
        <v>#DIV/0!</v>
      </c>
      <c r="E5" s="44"/>
      <c r="F5" s="38" t="e">
        <f>'CO e Lucro'!E14</f>
        <v>#DIV/0!</v>
      </c>
      <c r="G5" s="14"/>
      <c r="H5" s="24" t="e">
        <f>'CO e Lucro'!G14</f>
        <v>#DIV/0!</v>
      </c>
    </row>
    <row r="6" spans="2:8" ht="12.75" customHeight="1">
      <c r="B6" s="75" t="s">
        <v>11</v>
      </c>
      <c r="C6" s="179" t="s">
        <v>142</v>
      </c>
      <c r="D6" s="38" t="e">
        <f>Tributos!E12</f>
        <v>#DIV/0!</v>
      </c>
      <c r="E6" s="44"/>
      <c r="F6" s="38" t="e">
        <f>Tributos!E23</f>
        <v>#DIV/0!</v>
      </c>
      <c r="G6" s="14"/>
      <c r="H6" s="24" t="e">
        <f>Tributos!E37</f>
        <v>#DIV/0!</v>
      </c>
    </row>
    <row r="7" spans="2:8" ht="12.75" customHeight="1">
      <c r="B7" s="75" t="s">
        <v>13</v>
      </c>
      <c r="C7" s="179" t="s">
        <v>125</v>
      </c>
      <c r="D7" s="38" t="e">
        <f>'CO e Lucro'!E16</f>
        <v>#DIV/0!</v>
      </c>
      <c r="E7" s="44"/>
      <c r="F7" s="38" t="e">
        <f>'CO e Lucro'!E16</f>
        <v>#DIV/0!</v>
      </c>
      <c r="G7" s="89"/>
      <c r="H7" s="24" t="e">
        <f>'CO e Lucro'!G16</f>
        <v>#DIV/0!</v>
      </c>
    </row>
    <row r="8" spans="2:8" ht="12" customHeight="1" thickBot="1">
      <c r="B8" s="181"/>
      <c r="C8" s="91"/>
      <c r="D8" s="72"/>
      <c r="E8" s="44"/>
      <c r="F8" s="72"/>
      <c r="G8" s="14"/>
      <c r="H8" s="73"/>
    </row>
    <row r="9" spans="2:8" ht="12.75" customHeight="1" thickBot="1">
      <c r="B9" s="398" t="s">
        <v>62</v>
      </c>
      <c r="C9" s="400"/>
      <c r="D9" s="150" t="e">
        <f>SUM(D5:D7)</f>
        <v>#DIV/0!</v>
      </c>
      <c r="E9" s="55"/>
      <c r="F9" s="150" t="e">
        <f>SUM(F5:F7)</f>
        <v>#DIV/0!</v>
      </c>
      <c r="G9" s="182"/>
      <c r="H9" s="150" t="e">
        <f>SUM(H5:H7)</f>
        <v>#DIV/0!</v>
      </c>
    </row>
    <row r="10" spans="1:8" ht="13.5" thickBot="1">
      <c r="A10" s="14"/>
      <c r="B10" s="70"/>
      <c r="C10" s="71"/>
      <c r="D10" s="72"/>
      <c r="E10" s="44"/>
      <c r="F10" s="72"/>
      <c r="G10" s="14"/>
      <c r="H10" s="72"/>
    </row>
    <row r="11" spans="2:8" ht="12.75">
      <c r="B11" s="382" t="str">
        <f>UPPER('MOB Vinc'!M5)</f>
        <v>SERVENTE DE LIMPEZA</v>
      </c>
      <c r="C11" s="416"/>
      <c r="D11" s="416"/>
      <c r="E11" s="416"/>
      <c r="F11" s="416"/>
      <c r="G11" s="416"/>
      <c r="H11" s="432"/>
    </row>
    <row r="12" spans="2:8" ht="12.75">
      <c r="B12" s="473" t="s">
        <v>127</v>
      </c>
      <c r="C12" s="474"/>
      <c r="D12" s="475"/>
      <c r="E12" s="44"/>
      <c r="F12" s="171" t="s">
        <v>136</v>
      </c>
      <c r="G12" s="180"/>
      <c r="H12" s="174" t="s">
        <v>53</v>
      </c>
    </row>
    <row r="13" spans="2:8" ht="12.75">
      <c r="B13" s="476" t="s">
        <v>144</v>
      </c>
      <c r="C13" s="477"/>
      <c r="D13" s="47" t="s">
        <v>10</v>
      </c>
      <c r="E13" s="44"/>
      <c r="F13" s="47" t="s">
        <v>10</v>
      </c>
      <c r="G13" s="14"/>
      <c r="H13" s="149" t="s">
        <v>10</v>
      </c>
    </row>
    <row r="14" spans="2:8" ht="12.75" customHeight="1">
      <c r="B14" s="23" t="s">
        <v>7</v>
      </c>
      <c r="C14" s="179" t="s">
        <v>143</v>
      </c>
      <c r="D14" s="38" t="e">
        <f>'CO e Lucro'!E33</f>
        <v>#DIV/0!</v>
      </c>
      <c r="E14" s="44"/>
      <c r="F14" s="38" t="e">
        <f>'CO e Lucro'!E33</f>
        <v>#DIV/0!</v>
      </c>
      <c r="G14" s="14"/>
      <c r="H14" s="24" t="e">
        <f>'CO e Lucro'!G33</f>
        <v>#DIV/0!</v>
      </c>
    </row>
    <row r="15" spans="2:8" ht="12.75" customHeight="1">
      <c r="B15" s="75" t="s">
        <v>11</v>
      </c>
      <c r="C15" s="179" t="s">
        <v>142</v>
      </c>
      <c r="D15" s="38" t="e">
        <f>Tributos!I12</f>
        <v>#DIV/0!</v>
      </c>
      <c r="E15" s="44"/>
      <c r="F15" s="38" t="e">
        <f>Tributos!I23</f>
        <v>#DIV/0!</v>
      </c>
      <c r="G15" s="14"/>
      <c r="H15" s="24" t="e">
        <f>Tributos!I37</f>
        <v>#DIV/0!</v>
      </c>
    </row>
    <row r="16" spans="2:8" ht="12.75" customHeight="1">
      <c r="B16" s="75" t="s">
        <v>13</v>
      </c>
      <c r="C16" s="179" t="s">
        <v>125</v>
      </c>
      <c r="D16" s="38" t="e">
        <f>'CO e Lucro'!E34</f>
        <v>#DIV/0!</v>
      </c>
      <c r="E16" s="44"/>
      <c r="F16" s="38" t="e">
        <f>'CO e Lucro'!E34</f>
        <v>#DIV/0!</v>
      </c>
      <c r="G16" s="89"/>
      <c r="H16" s="24" t="e">
        <f>'CO e Lucro'!G34</f>
        <v>#DIV/0!</v>
      </c>
    </row>
    <row r="17" spans="2:8" ht="12" customHeight="1" thickBot="1">
      <c r="B17" s="181"/>
      <c r="C17" s="91"/>
      <c r="D17" s="72"/>
      <c r="E17" s="44"/>
      <c r="F17" s="72"/>
      <c r="G17" s="14"/>
      <c r="H17" s="73"/>
    </row>
    <row r="18" spans="2:8" ht="12.75" customHeight="1" thickBot="1">
      <c r="B18" s="398" t="s">
        <v>62</v>
      </c>
      <c r="C18" s="400"/>
      <c r="D18" s="150" t="e">
        <f>SUM(D14:D16)</f>
        <v>#DIV/0!</v>
      </c>
      <c r="E18" s="55"/>
      <c r="F18" s="150" t="e">
        <f>SUM(F14:F16)</f>
        <v>#DIV/0!</v>
      </c>
      <c r="G18" s="182"/>
      <c r="H18" s="150" t="e">
        <f>SUM(H14:H16)</f>
        <v>#DIV/0!</v>
      </c>
    </row>
  </sheetData>
  <sheetProtection password="D667" sheet="1" objects="1" scenarios="1"/>
  <mergeCells count="9">
    <mergeCell ref="B3:D3"/>
    <mergeCell ref="B2:H2"/>
    <mergeCell ref="B1:H1"/>
    <mergeCell ref="B18:C18"/>
    <mergeCell ref="B9:C9"/>
    <mergeCell ref="B12:D12"/>
    <mergeCell ref="B13:C13"/>
    <mergeCell ref="B11:H11"/>
    <mergeCell ref="B4:C4"/>
  </mergeCells>
  <printOptions/>
  <pageMargins left="0.75" right="0.75" top="1" bottom="1" header="0.492125985" footer="0.49212598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D7" sqref="D7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47.8515625" style="0" customWidth="1"/>
    <col min="4" max="4" width="17.00390625" style="0" customWidth="1"/>
    <col min="5" max="5" width="3.7109375" style="0" customWidth="1"/>
    <col min="6" max="6" width="17.00390625" style="0" customWidth="1"/>
    <col min="7" max="7" width="3.7109375" style="0" customWidth="1"/>
    <col min="8" max="8" width="17.00390625" style="0" customWidth="1"/>
  </cols>
  <sheetData>
    <row r="1" spans="2:8" ht="13.5" thickBot="1">
      <c r="B1" s="460" t="s">
        <v>147</v>
      </c>
      <c r="C1" s="460"/>
      <c r="D1" s="460"/>
      <c r="E1" s="460"/>
      <c r="F1" s="460"/>
      <c r="G1" s="460"/>
      <c r="H1" s="460"/>
    </row>
    <row r="2" spans="2:8" ht="12.75">
      <c r="B2" s="382" t="str">
        <f>UPPER('MOB Vinc'!E5)</f>
        <v>ENCARREGADO</v>
      </c>
      <c r="C2" s="416"/>
      <c r="D2" s="416"/>
      <c r="E2" s="416"/>
      <c r="F2" s="416"/>
      <c r="G2" s="416"/>
      <c r="H2" s="432"/>
    </row>
    <row r="3" spans="2:8" ht="12.75">
      <c r="B3" s="473" t="s">
        <v>127</v>
      </c>
      <c r="C3" s="474"/>
      <c r="D3" s="475"/>
      <c r="E3" s="44"/>
      <c r="F3" s="171" t="s">
        <v>136</v>
      </c>
      <c r="G3" s="180"/>
      <c r="H3" s="174" t="s">
        <v>53</v>
      </c>
    </row>
    <row r="4" spans="2:8" ht="12.75">
      <c r="B4" s="476" t="s">
        <v>144</v>
      </c>
      <c r="C4" s="477"/>
      <c r="D4" s="47" t="s">
        <v>10</v>
      </c>
      <c r="E4" s="44"/>
      <c r="F4" s="47" t="s">
        <v>10</v>
      </c>
      <c r="G4" s="14"/>
      <c r="H4" s="149" t="s">
        <v>10</v>
      </c>
    </row>
    <row r="5" spans="2:8" ht="12.75" customHeight="1">
      <c r="B5" s="23" t="s">
        <v>7</v>
      </c>
      <c r="C5" s="179" t="s">
        <v>148</v>
      </c>
      <c r="D5" s="38">
        <f>'Mod 1'!H10</f>
        <v>0</v>
      </c>
      <c r="E5" s="44"/>
      <c r="F5" s="38">
        <f>'Mod 1'!H10</f>
        <v>0</v>
      </c>
      <c r="G5" s="14"/>
      <c r="H5" s="24">
        <f>'Mod 1'!H10</f>
        <v>0</v>
      </c>
    </row>
    <row r="6" spans="2:8" ht="12.75" customHeight="1">
      <c r="B6" s="75" t="s">
        <v>11</v>
      </c>
      <c r="C6" s="179" t="s">
        <v>149</v>
      </c>
      <c r="D6" s="38">
        <f>'Mod 2'!E26</f>
        <v>0</v>
      </c>
      <c r="E6" s="44"/>
      <c r="F6" s="38">
        <f>'Mod 2'!E26</f>
        <v>0</v>
      </c>
      <c r="G6" s="14"/>
      <c r="H6" s="24">
        <f>'Mod 2'!E26</f>
        <v>0</v>
      </c>
    </row>
    <row r="7" spans="2:8" ht="12.75" customHeight="1">
      <c r="B7" s="75" t="s">
        <v>13</v>
      </c>
      <c r="C7" s="179" t="s">
        <v>112</v>
      </c>
      <c r="D7" s="38">
        <f>'Mod 3'!G4/'Mod 3'!E11</f>
        <v>0</v>
      </c>
      <c r="E7" s="44"/>
      <c r="F7" s="38">
        <f>'Mod 3'!G4/'Mod 3'!E11</f>
        <v>0</v>
      </c>
      <c r="G7" s="14"/>
      <c r="H7" s="24">
        <f>'Mod 3'!G4/'Mod 3'!E11</f>
        <v>0</v>
      </c>
    </row>
    <row r="8" spans="2:8" ht="12.75" customHeight="1">
      <c r="B8" s="75" t="s">
        <v>31</v>
      </c>
      <c r="C8" s="179" t="s">
        <v>150</v>
      </c>
      <c r="D8" s="38" t="e">
        <f>'Mod 4'!D14</f>
        <v>#DIV/0!</v>
      </c>
      <c r="E8" s="44"/>
      <c r="F8" s="38" t="e">
        <f>'Mod 4'!D14</f>
        <v>#DIV/0!</v>
      </c>
      <c r="G8" s="14"/>
      <c r="H8" s="24" t="e">
        <f>'Mod 4'!F14</f>
        <v>#DIV/0!</v>
      </c>
    </row>
    <row r="9" spans="2:8" ht="12.75" customHeight="1">
      <c r="B9" s="478" t="s">
        <v>96</v>
      </c>
      <c r="C9" s="479"/>
      <c r="D9" s="184" t="e">
        <f>SUM(D5:D8)</f>
        <v>#DIV/0!</v>
      </c>
      <c r="E9" s="44"/>
      <c r="F9" s="184" t="e">
        <f>SUM(F5:F8)</f>
        <v>#DIV/0!</v>
      </c>
      <c r="G9" s="14"/>
      <c r="H9" s="184" t="e">
        <f>SUM(H5:H8)</f>
        <v>#DIV/0!</v>
      </c>
    </row>
    <row r="10" spans="2:8" ht="12.75" customHeight="1">
      <c r="B10" s="75" t="s">
        <v>33</v>
      </c>
      <c r="C10" s="179" t="s">
        <v>151</v>
      </c>
      <c r="D10" s="38" t="e">
        <f>'Mod 5'!D9</f>
        <v>#DIV/0!</v>
      </c>
      <c r="E10" s="44"/>
      <c r="F10" s="38" t="e">
        <f>'Mod 5'!F9</f>
        <v>#DIV/0!</v>
      </c>
      <c r="G10" s="14"/>
      <c r="H10" s="24" t="e">
        <f>'Mod 5'!H9</f>
        <v>#DIV/0!</v>
      </c>
    </row>
    <row r="11" spans="2:8" ht="12" customHeight="1" thickBot="1">
      <c r="B11" s="181"/>
      <c r="C11" s="91"/>
      <c r="D11" s="72"/>
      <c r="E11" s="44"/>
      <c r="F11" s="72"/>
      <c r="G11" s="14"/>
      <c r="H11" s="73"/>
    </row>
    <row r="12" spans="2:8" ht="12.75" customHeight="1" thickBot="1">
      <c r="B12" s="398" t="s">
        <v>62</v>
      </c>
      <c r="C12" s="400"/>
      <c r="D12" s="150" t="e">
        <f>D10+D9</f>
        <v>#DIV/0!</v>
      </c>
      <c r="E12" s="55"/>
      <c r="F12" s="150" t="e">
        <f>F10+F9</f>
        <v>#DIV/0!</v>
      </c>
      <c r="G12" s="182"/>
      <c r="H12" s="150" t="e">
        <f>H10+H9</f>
        <v>#DIV/0!</v>
      </c>
    </row>
    <row r="13" spans="1:8" ht="13.5" thickBot="1">
      <c r="A13" s="14"/>
      <c r="B13" s="70"/>
      <c r="C13" s="71"/>
      <c r="D13" s="72"/>
      <c r="E13" s="44"/>
      <c r="F13" s="72"/>
      <c r="G13" s="14"/>
      <c r="H13" s="72"/>
    </row>
    <row r="14" spans="2:8" ht="12.75">
      <c r="B14" s="382" t="str">
        <f>UPPER('MOB Vinc'!M5)</f>
        <v>SERVENTE DE LIMPEZA</v>
      </c>
      <c r="C14" s="416"/>
      <c r="D14" s="416"/>
      <c r="E14" s="416"/>
      <c r="F14" s="416"/>
      <c r="G14" s="416"/>
      <c r="H14" s="432"/>
    </row>
    <row r="15" spans="2:8" ht="12.75">
      <c r="B15" s="473" t="s">
        <v>127</v>
      </c>
      <c r="C15" s="474"/>
      <c r="D15" s="475"/>
      <c r="E15" s="44"/>
      <c r="F15" s="171" t="s">
        <v>136</v>
      </c>
      <c r="G15" s="180"/>
      <c r="H15" s="174" t="s">
        <v>53</v>
      </c>
    </row>
    <row r="16" spans="2:8" ht="12.75">
      <c r="B16" s="476" t="s">
        <v>144</v>
      </c>
      <c r="C16" s="477"/>
      <c r="D16" s="47" t="s">
        <v>10</v>
      </c>
      <c r="E16" s="44"/>
      <c r="F16" s="47" t="s">
        <v>10</v>
      </c>
      <c r="G16" s="14"/>
      <c r="H16" s="149" t="s">
        <v>10</v>
      </c>
    </row>
    <row r="17" spans="2:8" ht="12.75" customHeight="1">
      <c r="B17" s="23" t="s">
        <v>7</v>
      </c>
      <c r="C17" s="179" t="s">
        <v>148</v>
      </c>
      <c r="D17" s="38">
        <f>'Mod 1'!Q10</f>
        <v>0</v>
      </c>
      <c r="E17" s="44"/>
      <c r="F17" s="38">
        <f>'Mod 1'!Q10</f>
        <v>0</v>
      </c>
      <c r="G17" s="14"/>
      <c r="H17" s="24">
        <f>'Mod 1'!Q10</f>
        <v>0</v>
      </c>
    </row>
    <row r="18" spans="2:8" ht="12.75" customHeight="1">
      <c r="B18" s="75" t="s">
        <v>11</v>
      </c>
      <c r="C18" s="179" t="s">
        <v>149</v>
      </c>
      <c r="D18" s="38">
        <f>'Mod 2'!E52</f>
        <v>0</v>
      </c>
      <c r="E18" s="44"/>
      <c r="F18" s="38">
        <f>'Mod 2'!E52</f>
        <v>0</v>
      </c>
      <c r="G18" s="14"/>
      <c r="H18" s="24">
        <f>'Mod 2'!E52</f>
        <v>0</v>
      </c>
    </row>
    <row r="19" spans="2:8" ht="12.75" customHeight="1">
      <c r="B19" s="75" t="s">
        <v>13</v>
      </c>
      <c r="C19" s="179" t="s">
        <v>112</v>
      </c>
      <c r="D19" s="38">
        <f>'Mod 3'!G34</f>
        <v>0</v>
      </c>
      <c r="E19" s="44"/>
      <c r="F19" s="38">
        <f>'Mod 3'!G34</f>
        <v>0</v>
      </c>
      <c r="G19" s="14"/>
      <c r="H19" s="24">
        <f>'Mod 3'!G34</f>
        <v>0</v>
      </c>
    </row>
    <row r="20" spans="2:8" ht="12.75" customHeight="1">
      <c r="B20" s="75" t="s">
        <v>31</v>
      </c>
      <c r="C20" s="179" t="s">
        <v>150</v>
      </c>
      <c r="D20" s="38" t="e">
        <f>'Mod 4'!D29</f>
        <v>#DIV/0!</v>
      </c>
      <c r="E20" s="44"/>
      <c r="F20" s="38" t="e">
        <f>'Mod 4'!D29</f>
        <v>#DIV/0!</v>
      </c>
      <c r="G20" s="14"/>
      <c r="H20" s="24" t="e">
        <f>'Mod 4'!F29</f>
        <v>#DIV/0!</v>
      </c>
    </row>
    <row r="21" spans="2:8" ht="12.75" customHeight="1">
      <c r="B21" s="478" t="s">
        <v>96</v>
      </c>
      <c r="C21" s="479"/>
      <c r="D21" s="184" t="e">
        <f>SUM(D17:D20)</f>
        <v>#DIV/0!</v>
      </c>
      <c r="E21" s="44"/>
      <c r="F21" s="184" t="e">
        <f>SUM(F17:F20)</f>
        <v>#DIV/0!</v>
      </c>
      <c r="G21" s="14"/>
      <c r="H21" s="184" t="e">
        <f>SUM(H17:H20)</f>
        <v>#DIV/0!</v>
      </c>
    </row>
    <row r="22" spans="2:8" ht="12.75" customHeight="1">
      <c r="B22" s="75" t="s">
        <v>33</v>
      </c>
      <c r="C22" s="179" t="s">
        <v>151</v>
      </c>
      <c r="D22" s="38" t="e">
        <f>'Mod 5'!D18</f>
        <v>#DIV/0!</v>
      </c>
      <c r="E22" s="44"/>
      <c r="F22" s="38" t="e">
        <f>'Mod 5'!F18</f>
        <v>#DIV/0!</v>
      </c>
      <c r="G22" s="14"/>
      <c r="H22" s="24" t="e">
        <f>'Mod 5'!H18</f>
        <v>#DIV/0!</v>
      </c>
    </row>
    <row r="23" spans="2:8" ht="12" customHeight="1" thickBot="1">
      <c r="B23" s="181"/>
      <c r="C23" s="91"/>
      <c r="D23" s="72"/>
      <c r="E23" s="44"/>
      <c r="F23" s="72"/>
      <c r="G23" s="14"/>
      <c r="H23" s="73"/>
    </row>
    <row r="24" spans="2:8" ht="12.75" customHeight="1" thickBot="1">
      <c r="B24" s="398" t="s">
        <v>62</v>
      </c>
      <c r="C24" s="400"/>
      <c r="D24" s="150" t="e">
        <f>D22+D21</f>
        <v>#DIV/0!</v>
      </c>
      <c r="E24" s="55"/>
      <c r="F24" s="150" t="e">
        <f>F22+F21</f>
        <v>#DIV/0!</v>
      </c>
      <c r="G24" s="182"/>
      <c r="H24" s="150" t="e">
        <f>H22+H21</f>
        <v>#DIV/0!</v>
      </c>
    </row>
  </sheetData>
  <sheetProtection password="D667" sheet="1" objects="1" scenarios="1"/>
  <mergeCells count="11">
    <mergeCell ref="B24:C24"/>
    <mergeCell ref="B4:C4"/>
    <mergeCell ref="B3:D3"/>
    <mergeCell ref="B2:H2"/>
    <mergeCell ref="B1:H1"/>
    <mergeCell ref="B21:C21"/>
    <mergeCell ref="B12:C12"/>
    <mergeCell ref="B15:D15"/>
    <mergeCell ref="B16:C16"/>
    <mergeCell ref="B14:H14"/>
    <mergeCell ref="B9:C9"/>
  </mergeCells>
  <printOptions/>
  <pageMargins left="0.75" right="0.75" top="1" bottom="1" header="0.492125985" footer="0.49212598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0"/>
  <sheetViews>
    <sheetView showGridLines="0"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1.1484375" style="0" customWidth="1"/>
    <col min="2" max="2" width="17.7109375" style="0" customWidth="1"/>
    <col min="3" max="3" width="13.00390625" style="0" customWidth="1"/>
    <col min="4" max="4" width="14.140625" style="0" customWidth="1"/>
    <col min="5" max="5" width="12.7109375" style="0" customWidth="1"/>
    <col min="6" max="6" width="3.421875" style="0" customWidth="1"/>
    <col min="7" max="7" width="17.7109375" style="0" customWidth="1"/>
    <col min="8" max="8" width="13.00390625" style="0" customWidth="1"/>
    <col min="9" max="9" width="15.00390625" style="0" customWidth="1"/>
    <col min="10" max="10" width="17.8515625" style="0" customWidth="1"/>
    <col min="11" max="11" width="12.7109375" style="0" customWidth="1"/>
    <col min="12" max="12" width="13.00390625" style="0" customWidth="1"/>
    <col min="13" max="13" width="12.8515625" style="0" customWidth="1"/>
  </cols>
  <sheetData>
    <row r="1" spans="2:13" ht="13.5" thickBot="1">
      <c r="B1" s="439" t="s">
        <v>170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2:13" ht="13.5" thickBot="1">
      <c r="B2" s="515" t="s">
        <v>127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7"/>
    </row>
    <row r="3" spans="2:13" ht="12.75">
      <c r="B3" s="512" t="s">
        <v>153</v>
      </c>
      <c r="C3" s="513"/>
      <c r="D3" s="513"/>
      <c r="E3" s="514"/>
      <c r="F3" s="186"/>
      <c r="G3" s="493" t="s">
        <v>154</v>
      </c>
      <c r="H3" s="494"/>
      <c r="I3" s="494"/>
      <c r="J3" s="494"/>
      <c r="K3" s="494"/>
      <c r="L3" s="494"/>
      <c r="M3" s="495"/>
    </row>
    <row r="4" spans="2:13" ht="35.25" customHeight="1">
      <c r="B4" s="187" t="s">
        <v>155</v>
      </c>
      <c r="C4" s="185" t="s">
        <v>156</v>
      </c>
      <c r="D4" s="185" t="s">
        <v>157</v>
      </c>
      <c r="E4" s="188" t="s">
        <v>158</v>
      </c>
      <c r="F4" s="189"/>
      <c r="G4" s="187" t="s">
        <v>155</v>
      </c>
      <c r="H4" s="185" t="s">
        <v>156</v>
      </c>
      <c r="I4" s="185" t="s">
        <v>159</v>
      </c>
      <c r="J4" s="190" t="s">
        <v>160</v>
      </c>
      <c r="K4" s="185" t="s">
        <v>161</v>
      </c>
      <c r="L4" s="185" t="s">
        <v>162</v>
      </c>
      <c r="M4" s="188" t="s">
        <v>163</v>
      </c>
    </row>
    <row r="5" spans="2:13" ht="12.75">
      <c r="B5" s="485" t="str">
        <f>'MOB Vinc'!$E$5</f>
        <v>Encarregado</v>
      </c>
      <c r="C5" s="191">
        <v>1</v>
      </c>
      <c r="D5" s="486" t="e">
        <f>INT('Custo por empregado'!D12*100)/100</f>
        <v>#DIV/0!</v>
      </c>
      <c r="E5" s="488" t="e">
        <f>D5/'Áreas da limpeza'!$I$3/C8</f>
        <v>#DIV/0!</v>
      </c>
      <c r="F5" s="189"/>
      <c r="G5" s="485" t="str">
        <f>B5</f>
        <v>Encarregado</v>
      </c>
      <c r="H5" s="191">
        <v>1</v>
      </c>
      <c r="I5" s="496">
        <v>16</v>
      </c>
      <c r="J5" s="192">
        <v>1</v>
      </c>
      <c r="K5" s="498">
        <f>1/'Áreas da limpeza'!$I$17/H8*I5/J6</f>
        <v>2.1109738978077536E-05</v>
      </c>
      <c r="L5" s="486" t="e">
        <f>$D$5</f>
        <v>#DIV/0!</v>
      </c>
      <c r="M5" s="488" t="e">
        <f>L5*K5</f>
        <v>#DIV/0!</v>
      </c>
    </row>
    <row r="6" spans="2:13" ht="12.75">
      <c r="B6" s="485"/>
      <c r="C6" s="191" t="str">
        <f>'Áreas da limpeza'!$I$3&amp;" x "&amp;C8</f>
        <v>18 x 600</v>
      </c>
      <c r="D6" s="487"/>
      <c r="E6" s="508"/>
      <c r="F6" s="189"/>
      <c r="G6" s="485"/>
      <c r="H6" s="191" t="str">
        <f>'Áreas da limpeza'!$I$17&amp;" x "&amp;H8</f>
        <v>18 x 220</v>
      </c>
      <c r="I6" s="497"/>
      <c r="J6" s="193">
        <v>191.4</v>
      </c>
      <c r="K6" s="498"/>
      <c r="L6" s="487"/>
      <c r="M6" s="489"/>
    </row>
    <row r="7" spans="2:13" ht="12.75">
      <c r="B7" s="503" t="str">
        <f>'MOB Vinc'!$M$5</f>
        <v>Servente de limpeza</v>
      </c>
      <c r="C7" s="191">
        <v>1</v>
      </c>
      <c r="D7" s="486" t="e">
        <f>INT('Custo por empregado'!D24*100)/100</f>
        <v>#DIV/0!</v>
      </c>
      <c r="E7" s="488" t="e">
        <f>D7/C8</f>
        <v>#DIV/0!</v>
      </c>
      <c r="F7" s="189"/>
      <c r="G7" s="485" t="str">
        <f>B7</f>
        <v>Servente de limpeza</v>
      </c>
      <c r="H7" s="191">
        <v>1</v>
      </c>
      <c r="I7" s="496">
        <v>16</v>
      </c>
      <c r="J7" s="192">
        <v>1</v>
      </c>
      <c r="K7" s="499">
        <f>1/H8*I7/J8</f>
        <v>0.0003799753016053956</v>
      </c>
      <c r="L7" s="486" t="e">
        <f>$D$7</f>
        <v>#DIV/0!</v>
      </c>
      <c r="M7" s="488" t="e">
        <f>L7*K7</f>
        <v>#DIV/0!</v>
      </c>
    </row>
    <row r="8" spans="2:13" ht="12.75">
      <c r="B8" s="504"/>
      <c r="C8" s="359">
        <f>'Áreas da limpeza'!$D$2</f>
        <v>600</v>
      </c>
      <c r="D8" s="487"/>
      <c r="E8" s="489"/>
      <c r="F8" s="189"/>
      <c r="G8" s="485"/>
      <c r="H8" s="359">
        <f>'Áreas da limpeza'!$D$16</f>
        <v>220</v>
      </c>
      <c r="I8" s="497"/>
      <c r="J8" s="198">
        <v>191.4</v>
      </c>
      <c r="K8" s="499"/>
      <c r="L8" s="487"/>
      <c r="M8" s="489"/>
    </row>
    <row r="9" spans="2:13" ht="13.5" thickBot="1">
      <c r="B9" s="518" t="s">
        <v>62</v>
      </c>
      <c r="C9" s="519"/>
      <c r="D9" s="520"/>
      <c r="E9" s="194" t="e">
        <f>E7+E5</f>
        <v>#DIV/0!</v>
      </c>
      <c r="F9" s="189"/>
      <c r="G9" s="483" t="s">
        <v>62</v>
      </c>
      <c r="H9" s="484"/>
      <c r="I9" s="484"/>
      <c r="J9" s="484"/>
      <c r="K9" s="484"/>
      <c r="L9" s="484"/>
      <c r="M9" s="194" t="e">
        <f>M7+M5</f>
        <v>#DIV/0!</v>
      </c>
    </row>
    <row r="10" spans="2:13" ht="7.5" customHeight="1" thickBot="1">
      <c r="B10" s="195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96"/>
    </row>
    <row r="11" spans="2:13" ht="12.75">
      <c r="B11" s="505" t="s">
        <v>164</v>
      </c>
      <c r="C11" s="506"/>
      <c r="D11" s="506"/>
      <c r="E11" s="507"/>
      <c r="F11" s="189"/>
      <c r="G11" s="500" t="s">
        <v>165</v>
      </c>
      <c r="H11" s="501"/>
      <c r="I11" s="501"/>
      <c r="J11" s="501"/>
      <c r="K11" s="501"/>
      <c r="L11" s="501"/>
      <c r="M11" s="502"/>
    </row>
    <row r="12" spans="2:13" ht="43.5" customHeight="1">
      <c r="B12" s="187" t="s">
        <v>155</v>
      </c>
      <c r="C12" s="185" t="s">
        <v>156</v>
      </c>
      <c r="D12" s="185" t="s">
        <v>157</v>
      </c>
      <c r="E12" s="188" t="s">
        <v>158</v>
      </c>
      <c r="F12" s="189"/>
      <c r="G12" s="187" t="s">
        <v>155</v>
      </c>
      <c r="H12" s="185" t="s">
        <v>156</v>
      </c>
      <c r="I12" s="185" t="s">
        <v>166</v>
      </c>
      <c r="J12" s="185" t="s">
        <v>167</v>
      </c>
      <c r="K12" s="185" t="s">
        <v>168</v>
      </c>
      <c r="L12" s="185" t="s">
        <v>162</v>
      </c>
      <c r="M12" s="188" t="s">
        <v>163</v>
      </c>
    </row>
    <row r="13" spans="2:13" ht="12.75">
      <c r="B13" s="485" t="str">
        <f>B5</f>
        <v>Encarregado</v>
      </c>
      <c r="C13" s="191">
        <v>1</v>
      </c>
      <c r="D13" s="486" t="e">
        <f>$D$5</f>
        <v>#DIV/0!</v>
      </c>
      <c r="E13" s="488" t="e">
        <f>D13/'Áreas da limpeza'!$I$10/C16</f>
        <v>#DIV/0!</v>
      </c>
      <c r="F13" s="189"/>
      <c r="G13" s="485" t="str">
        <f>B5</f>
        <v>Encarregado</v>
      </c>
      <c r="H13" s="191">
        <v>1</v>
      </c>
      <c r="I13" s="496">
        <v>8</v>
      </c>
      <c r="J13" s="191">
        <v>1</v>
      </c>
      <c r="K13" s="498">
        <f>1/'Áreas da limpeza'!$I$21/H16*I13/J14</f>
        <v>1.583230423355815E-05</v>
      </c>
      <c r="L13" s="486" t="e">
        <f>$D$5</f>
        <v>#DIV/0!</v>
      </c>
      <c r="M13" s="488" t="e">
        <f>L13*K13</f>
        <v>#DIV/0!</v>
      </c>
    </row>
    <row r="14" spans="2:13" ht="12.75">
      <c r="B14" s="485"/>
      <c r="C14" s="191" t="str">
        <f>'Áreas da limpeza'!$I$10&amp;" x "&amp;C16</f>
        <v>18 x 1200</v>
      </c>
      <c r="D14" s="487"/>
      <c r="E14" s="489"/>
      <c r="F14" s="189"/>
      <c r="G14" s="485"/>
      <c r="H14" s="360" t="str">
        <f>'Áreas da limpeza'!$I$21&amp;" x "&amp;H16</f>
        <v>4 x 110</v>
      </c>
      <c r="I14" s="497"/>
      <c r="J14" s="193">
        <v>1148.4</v>
      </c>
      <c r="K14" s="498"/>
      <c r="L14" s="487"/>
      <c r="M14" s="489"/>
    </row>
    <row r="15" spans="2:13" ht="12.75">
      <c r="B15" s="503" t="str">
        <f>B7</f>
        <v>Servente de limpeza</v>
      </c>
      <c r="C15" s="191">
        <v>1</v>
      </c>
      <c r="D15" s="486" t="e">
        <f>$D$7</f>
        <v>#DIV/0!</v>
      </c>
      <c r="E15" s="488" t="e">
        <f>D15/C16</f>
        <v>#DIV/0!</v>
      </c>
      <c r="F15" s="189"/>
      <c r="G15" s="485" t="str">
        <f>B7</f>
        <v>Servente de limpeza</v>
      </c>
      <c r="H15" s="191">
        <v>1</v>
      </c>
      <c r="I15" s="496">
        <v>8</v>
      </c>
      <c r="J15" s="191">
        <v>1</v>
      </c>
      <c r="K15" s="498">
        <f>1/H16*I15/J16</f>
        <v>6.33292169342326E-05</v>
      </c>
      <c r="L15" s="486" t="e">
        <f>$D$7</f>
        <v>#DIV/0!</v>
      </c>
      <c r="M15" s="488" t="e">
        <f>L15*K15</f>
        <v>#DIV/0!</v>
      </c>
    </row>
    <row r="16" spans="2:13" ht="12.75">
      <c r="B16" s="504"/>
      <c r="C16" s="359">
        <f>'Áreas da limpeza'!$D$9</f>
        <v>1200</v>
      </c>
      <c r="D16" s="487"/>
      <c r="E16" s="489"/>
      <c r="F16" s="189"/>
      <c r="G16" s="485"/>
      <c r="H16" s="359">
        <f>'Áreas da limpeza'!$D$20</f>
        <v>110</v>
      </c>
      <c r="I16" s="497"/>
      <c r="J16" s="198">
        <v>1148.4</v>
      </c>
      <c r="K16" s="498"/>
      <c r="L16" s="487"/>
      <c r="M16" s="489"/>
    </row>
    <row r="17" spans="2:13" ht="13.5" thickBot="1">
      <c r="B17" s="480" t="s">
        <v>62</v>
      </c>
      <c r="C17" s="481"/>
      <c r="D17" s="482"/>
      <c r="E17" s="197" t="e">
        <f>E15+E13</f>
        <v>#DIV/0!</v>
      </c>
      <c r="F17" s="189"/>
      <c r="G17" s="483" t="s">
        <v>62</v>
      </c>
      <c r="H17" s="484"/>
      <c r="I17" s="484"/>
      <c r="J17" s="484"/>
      <c r="K17" s="484"/>
      <c r="L17" s="484"/>
      <c r="M17" s="194" t="e">
        <f>M15+M13</f>
        <v>#DIV/0!</v>
      </c>
    </row>
    <row r="18" spans="2:13" ht="7.5" customHeight="1" thickBo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30"/>
    </row>
    <row r="19" spans="2:13" ht="12.75">
      <c r="B19" s="490" t="s">
        <v>169</v>
      </c>
      <c r="C19" s="491"/>
      <c r="D19" s="491"/>
      <c r="E19" s="492"/>
      <c r="F19" s="14"/>
      <c r="G19" s="14"/>
      <c r="H19" s="14"/>
      <c r="I19" s="14"/>
      <c r="J19" s="14"/>
      <c r="K19" s="14"/>
      <c r="L19" s="14"/>
      <c r="M19" s="30"/>
    </row>
    <row r="20" spans="2:13" ht="38.25">
      <c r="B20" s="187" t="s">
        <v>155</v>
      </c>
      <c r="C20" s="185" t="s">
        <v>156</v>
      </c>
      <c r="D20" s="185" t="s">
        <v>157</v>
      </c>
      <c r="E20" s="188" t="s">
        <v>158</v>
      </c>
      <c r="F20" s="14"/>
      <c r="G20" s="14"/>
      <c r="H20" s="14"/>
      <c r="I20" s="14"/>
      <c r="J20" s="14"/>
      <c r="K20" s="14"/>
      <c r="L20" s="14"/>
      <c r="M20" s="30"/>
    </row>
    <row r="21" spans="2:13" ht="12.75">
      <c r="B21" s="485" t="str">
        <f>B5</f>
        <v>Encarregado</v>
      </c>
      <c r="C21" s="191">
        <v>1</v>
      </c>
      <c r="D21" s="486" t="e">
        <f>$D$5</f>
        <v>#DIV/0!</v>
      </c>
      <c r="E21" s="488" t="e">
        <f>D21/'Áreas da limpeza'!$I$23/C24</f>
        <v>#DIV/0!</v>
      </c>
      <c r="F21" s="14"/>
      <c r="G21" s="14"/>
      <c r="H21" s="14"/>
      <c r="I21" s="14"/>
      <c r="J21" s="14"/>
      <c r="K21" s="14"/>
      <c r="L21" s="14"/>
      <c r="M21" s="30"/>
    </row>
    <row r="22" spans="2:13" ht="12.75">
      <c r="B22" s="485"/>
      <c r="C22" s="191" t="str">
        <f>'Áreas da limpeza'!$I$23&amp;" x "&amp;C24</f>
        <v>18 x 330</v>
      </c>
      <c r="D22" s="487"/>
      <c r="E22" s="489"/>
      <c r="F22" s="14"/>
      <c r="G22" s="14"/>
      <c r="H22" s="14"/>
      <c r="I22" s="14"/>
      <c r="J22" s="14"/>
      <c r="K22" s="14"/>
      <c r="L22" s="14"/>
      <c r="M22" s="30"/>
    </row>
    <row r="23" spans="2:13" ht="12.75">
      <c r="B23" s="485" t="str">
        <f>B7</f>
        <v>Servente de limpeza</v>
      </c>
      <c r="C23" s="191">
        <v>1</v>
      </c>
      <c r="D23" s="486" t="e">
        <f>$D$7</f>
        <v>#DIV/0!</v>
      </c>
      <c r="E23" s="488" t="e">
        <f>D23/C24</f>
        <v>#DIV/0!</v>
      </c>
      <c r="F23" s="14"/>
      <c r="G23" s="14"/>
      <c r="H23" s="14"/>
      <c r="I23" s="14"/>
      <c r="J23" s="14"/>
      <c r="K23" s="14"/>
      <c r="L23" s="14"/>
      <c r="M23" s="30"/>
    </row>
    <row r="24" spans="2:13" ht="12.75">
      <c r="B24" s="485"/>
      <c r="C24" s="359">
        <f>'Áreas da limpeza'!$D$22</f>
        <v>330</v>
      </c>
      <c r="D24" s="487"/>
      <c r="E24" s="489"/>
      <c r="F24" s="14"/>
      <c r="G24" s="14"/>
      <c r="H24" s="14"/>
      <c r="I24" s="14"/>
      <c r="J24" s="14"/>
      <c r="K24" s="14"/>
      <c r="L24" s="14"/>
      <c r="M24" s="30"/>
    </row>
    <row r="25" spans="2:13" ht="13.5" thickBot="1">
      <c r="B25" s="480" t="s">
        <v>62</v>
      </c>
      <c r="C25" s="481"/>
      <c r="D25" s="482"/>
      <c r="E25" s="197" t="e">
        <f>E23+E21</f>
        <v>#DIV/0!</v>
      </c>
      <c r="F25" s="182"/>
      <c r="G25" s="182"/>
      <c r="H25" s="182"/>
      <c r="I25" s="182"/>
      <c r="J25" s="182"/>
      <c r="K25" s="182"/>
      <c r="L25" s="182"/>
      <c r="M25" s="20"/>
    </row>
    <row r="26" ht="13.5" thickBot="1"/>
    <row r="27" spans="2:13" ht="13.5" thickBot="1">
      <c r="B27" s="509" t="s">
        <v>136</v>
      </c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1"/>
    </row>
    <row r="28" spans="2:13" ht="12.75">
      <c r="B28" s="512" t="s">
        <v>153</v>
      </c>
      <c r="C28" s="513"/>
      <c r="D28" s="513"/>
      <c r="E28" s="514"/>
      <c r="F28" s="186"/>
      <c r="G28" s="493" t="s">
        <v>154</v>
      </c>
      <c r="H28" s="494"/>
      <c r="I28" s="494"/>
      <c r="J28" s="494"/>
      <c r="K28" s="494"/>
      <c r="L28" s="494"/>
      <c r="M28" s="495"/>
    </row>
    <row r="29" spans="2:13" ht="38.25">
      <c r="B29" s="187" t="s">
        <v>155</v>
      </c>
      <c r="C29" s="185" t="s">
        <v>156</v>
      </c>
      <c r="D29" s="185" t="s">
        <v>157</v>
      </c>
      <c r="E29" s="188" t="s">
        <v>158</v>
      </c>
      <c r="F29" s="189"/>
      <c r="G29" s="187" t="s">
        <v>155</v>
      </c>
      <c r="H29" s="185" t="s">
        <v>156</v>
      </c>
      <c r="I29" s="185" t="s">
        <v>159</v>
      </c>
      <c r="J29" s="190" t="s">
        <v>160</v>
      </c>
      <c r="K29" s="185" t="s">
        <v>161</v>
      </c>
      <c r="L29" s="185" t="s">
        <v>162</v>
      </c>
      <c r="M29" s="188" t="s">
        <v>163</v>
      </c>
    </row>
    <row r="30" spans="2:13" ht="12.75">
      <c r="B30" s="485" t="str">
        <f>'MOB Vinc'!$E$5</f>
        <v>Encarregado</v>
      </c>
      <c r="C30" s="191">
        <v>1</v>
      </c>
      <c r="D30" s="486" t="e">
        <f>INT('Custo por empregado'!F12*100)/100</f>
        <v>#DIV/0!</v>
      </c>
      <c r="E30" s="488" t="e">
        <f>D30/'Áreas da limpeza'!$I$3/C33</f>
        <v>#DIV/0!</v>
      </c>
      <c r="F30" s="189"/>
      <c r="G30" s="485" t="str">
        <f>B30</f>
        <v>Encarregado</v>
      </c>
      <c r="H30" s="191">
        <v>1</v>
      </c>
      <c r="I30" s="496">
        <v>16</v>
      </c>
      <c r="J30" s="192">
        <v>1</v>
      </c>
      <c r="K30" s="498">
        <f>1/'Áreas da limpeza'!$I$17/H33*I30/J31</f>
        <v>2.1109738978077536E-05</v>
      </c>
      <c r="L30" s="486" t="e">
        <f>$D$30</f>
        <v>#DIV/0!</v>
      </c>
      <c r="M30" s="488" t="e">
        <f>L30*K30</f>
        <v>#DIV/0!</v>
      </c>
    </row>
    <row r="31" spans="2:13" ht="12.75">
      <c r="B31" s="485"/>
      <c r="C31" s="191" t="str">
        <f>'Áreas da limpeza'!$I$3&amp;" x "&amp;C33</f>
        <v>18 x 600</v>
      </c>
      <c r="D31" s="487"/>
      <c r="E31" s="508"/>
      <c r="F31" s="189"/>
      <c r="G31" s="485"/>
      <c r="H31" s="191" t="str">
        <f>'Áreas da limpeza'!$I$17&amp;" x "&amp;H33</f>
        <v>18 x 220</v>
      </c>
      <c r="I31" s="497"/>
      <c r="J31" s="193">
        <v>191.4</v>
      </c>
      <c r="K31" s="498"/>
      <c r="L31" s="487"/>
      <c r="M31" s="489"/>
    </row>
    <row r="32" spans="2:13" ht="12.75">
      <c r="B32" s="503" t="str">
        <f>'MOB Vinc'!$M$5</f>
        <v>Servente de limpeza</v>
      </c>
      <c r="C32" s="191">
        <v>1</v>
      </c>
      <c r="D32" s="486" t="e">
        <f>INT('Custo por empregado'!F24*100)/100</f>
        <v>#DIV/0!</v>
      </c>
      <c r="E32" s="488" t="e">
        <f>D32/C33</f>
        <v>#DIV/0!</v>
      </c>
      <c r="F32" s="189"/>
      <c r="G32" s="485" t="str">
        <f>B32</f>
        <v>Servente de limpeza</v>
      </c>
      <c r="H32" s="191">
        <v>1</v>
      </c>
      <c r="I32" s="496">
        <v>16</v>
      </c>
      <c r="J32" s="192">
        <v>1</v>
      </c>
      <c r="K32" s="499">
        <f>1/H33*I32/J33</f>
        <v>0.0003799753016053956</v>
      </c>
      <c r="L32" s="486" t="e">
        <f>$D$32</f>
        <v>#DIV/0!</v>
      </c>
      <c r="M32" s="488" t="e">
        <f>L32*K32</f>
        <v>#DIV/0!</v>
      </c>
    </row>
    <row r="33" spans="2:13" ht="12.75">
      <c r="B33" s="504"/>
      <c r="C33" s="359">
        <f>'Áreas da limpeza'!$D$2</f>
        <v>600</v>
      </c>
      <c r="D33" s="487"/>
      <c r="E33" s="489"/>
      <c r="F33" s="189"/>
      <c r="G33" s="485"/>
      <c r="H33" s="359">
        <f>'Áreas da limpeza'!$D$16</f>
        <v>220</v>
      </c>
      <c r="I33" s="497"/>
      <c r="J33" s="198">
        <v>191.4</v>
      </c>
      <c r="K33" s="499"/>
      <c r="L33" s="487"/>
      <c r="M33" s="489"/>
    </row>
    <row r="34" spans="2:13" ht="13.5" thickBot="1">
      <c r="B34" s="480" t="s">
        <v>62</v>
      </c>
      <c r="C34" s="481"/>
      <c r="D34" s="482"/>
      <c r="E34" s="197" t="e">
        <f>E32+E30</f>
        <v>#DIV/0!</v>
      </c>
      <c r="F34" s="189"/>
      <c r="G34" s="483" t="s">
        <v>62</v>
      </c>
      <c r="H34" s="484"/>
      <c r="I34" s="484"/>
      <c r="J34" s="484"/>
      <c r="K34" s="484"/>
      <c r="L34" s="484"/>
      <c r="M34" s="194" t="e">
        <f>M32+M30</f>
        <v>#DIV/0!</v>
      </c>
    </row>
    <row r="35" spans="2:13" ht="7.5" customHeight="1" thickBot="1">
      <c r="B35" s="195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96"/>
    </row>
    <row r="36" spans="2:13" ht="12.75">
      <c r="B36" s="505" t="s">
        <v>164</v>
      </c>
      <c r="C36" s="506"/>
      <c r="D36" s="506"/>
      <c r="E36" s="507"/>
      <c r="F36" s="189"/>
      <c r="G36" s="500" t="s">
        <v>165</v>
      </c>
      <c r="H36" s="501"/>
      <c r="I36" s="501"/>
      <c r="J36" s="501"/>
      <c r="K36" s="501"/>
      <c r="L36" s="501"/>
      <c r="M36" s="502"/>
    </row>
    <row r="37" spans="2:13" ht="38.25">
      <c r="B37" s="187" t="s">
        <v>155</v>
      </c>
      <c r="C37" s="185" t="s">
        <v>156</v>
      </c>
      <c r="D37" s="185" t="s">
        <v>157</v>
      </c>
      <c r="E37" s="188" t="s">
        <v>158</v>
      </c>
      <c r="F37" s="189"/>
      <c r="G37" s="187" t="s">
        <v>155</v>
      </c>
      <c r="H37" s="185" t="s">
        <v>156</v>
      </c>
      <c r="I37" s="185" t="s">
        <v>166</v>
      </c>
      <c r="J37" s="185" t="s">
        <v>167</v>
      </c>
      <c r="K37" s="185" t="s">
        <v>168</v>
      </c>
      <c r="L37" s="185" t="s">
        <v>162</v>
      </c>
      <c r="M37" s="188" t="s">
        <v>163</v>
      </c>
    </row>
    <row r="38" spans="2:13" ht="12.75">
      <c r="B38" s="485" t="str">
        <f>B30</f>
        <v>Encarregado</v>
      </c>
      <c r="C38" s="191">
        <v>1</v>
      </c>
      <c r="D38" s="486" t="e">
        <f>$D$30</f>
        <v>#DIV/0!</v>
      </c>
      <c r="E38" s="488" t="e">
        <f>D38/'Áreas da limpeza'!$I$10/C41</f>
        <v>#DIV/0!</v>
      </c>
      <c r="F38" s="189"/>
      <c r="G38" s="485" t="str">
        <f>B30</f>
        <v>Encarregado</v>
      </c>
      <c r="H38" s="191">
        <v>1</v>
      </c>
      <c r="I38" s="496">
        <v>8</v>
      </c>
      <c r="J38" s="191">
        <v>1</v>
      </c>
      <c r="K38" s="498">
        <f>1/'Áreas da limpeza'!$I$21/H41*I38/J39</f>
        <v>1.583230423355815E-05</v>
      </c>
      <c r="L38" s="486" t="e">
        <f>$D$30</f>
        <v>#DIV/0!</v>
      </c>
      <c r="M38" s="488" t="e">
        <f>L38*K38</f>
        <v>#DIV/0!</v>
      </c>
    </row>
    <row r="39" spans="2:13" ht="12.75">
      <c r="B39" s="485"/>
      <c r="C39" s="191" t="str">
        <f>'Áreas da limpeza'!$I$10&amp;" x "&amp;C41</f>
        <v>18 x 1200</v>
      </c>
      <c r="D39" s="487"/>
      <c r="E39" s="489"/>
      <c r="F39" s="189"/>
      <c r="G39" s="485"/>
      <c r="H39" s="360" t="str">
        <f>'Áreas da limpeza'!$I$21&amp;" x "&amp;H41</f>
        <v>4 x 110</v>
      </c>
      <c r="I39" s="497"/>
      <c r="J39" s="193">
        <v>1148.4</v>
      </c>
      <c r="K39" s="498"/>
      <c r="L39" s="487"/>
      <c r="M39" s="489"/>
    </row>
    <row r="40" spans="2:13" ht="12.75">
      <c r="B40" s="503" t="str">
        <f>B32</f>
        <v>Servente de limpeza</v>
      </c>
      <c r="C40" s="191">
        <v>1</v>
      </c>
      <c r="D40" s="486" t="e">
        <f>$D$32</f>
        <v>#DIV/0!</v>
      </c>
      <c r="E40" s="488" t="e">
        <f>D40/C41</f>
        <v>#DIV/0!</v>
      </c>
      <c r="F40" s="189"/>
      <c r="G40" s="485" t="str">
        <f>B32</f>
        <v>Servente de limpeza</v>
      </c>
      <c r="H40" s="191">
        <v>1</v>
      </c>
      <c r="I40" s="496">
        <v>8</v>
      </c>
      <c r="J40" s="191">
        <v>1</v>
      </c>
      <c r="K40" s="498">
        <f>1/H41*I40/J41</f>
        <v>6.33292169342326E-05</v>
      </c>
      <c r="L40" s="486" t="e">
        <f>$D$32</f>
        <v>#DIV/0!</v>
      </c>
      <c r="M40" s="488" t="e">
        <f>L40*K40</f>
        <v>#DIV/0!</v>
      </c>
    </row>
    <row r="41" spans="2:13" ht="12.75">
      <c r="B41" s="504"/>
      <c r="C41" s="359">
        <f>'Áreas da limpeza'!$D$9</f>
        <v>1200</v>
      </c>
      <c r="D41" s="487"/>
      <c r="E41" s="489"/>
      <c r="F41" s="189"/>
      <c r="G41" s="485"/>
      <c r="H41" s="359">
        <f>'Áreas da limpeza'!$D$20</f>
        <v>110</v>
      </c>
      <c r="I41" s="497"/>
      <c r="J41" s="198">
        <v>1148.4</v>
      </c>
      <c r="K41" s="498"/>
      <c r="L41" s="487"/>
      <c r="M41" s="489"/>
    </row>
    <row r="42" spans="2:13" ht="13.5" thickBot="1">
      <c r="B42" s="480" t="s">
        <v>62</v>
      </c>
      <c r="C42" s="481"/>
      <c r="D42" s="482"/>
      <c r="E42" s="197" t="e">
        <f>E40+E38</f>
        <v>#DIV/0!</v>
      </c>
      <c r="F42" s="189"/>
      <c r="G42" s="483" t="s">
        <v>62</v>
      </c>
      <c r="H42" s="484"/>
      <c r="I42" s="484"/>
      <c r="J42" s="484"/>
      <c r="K42" s="484"/>
      <c r="L42" s="484"/>
      <c r="M42" s="194" t="e">
        <f>M40+M38</f>
        <v>#DIV/0!</v>
      </c>
    </row>
    <row r="43" spans="2:13" ht="7.5" customHeight="1" thickBot="1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30"/>
    </row>
    <row r="44" spans="2:13" ht="12.75">
      <c r="B44" s="490" t="s">
        <v>169</v>
      </c>
      <c r="C44" s="491"/>
      <c r="D44" s="491"/>
      <c r="E44" s="492"/>
      <c r="F44" s="14"/>
      <c r="G44" s="14"/>
      <c r="H44" s="14"/>
      <c r="I44" s="14"/>
      <c r="J44" s="14"/>
      <c r="K44" s="14"/>
      <c r="L44" s="14"/>
      <c r="M44" s="30"/>
    </row>
    <row r="45" spans="2:13" ht="38.25">
      <c r="B45" s="187" t="s">
        <v>155</v>
      </c>
      <c r="C45" s="185" t="s">
        <v>156</v>
      </c>
      <c r="D45" s="185" t="s">
        <v>157</v>
      </c>
      <c r="E45" s="188" t="s">
        <v>158</v>
      </c>
      <c r="F45" s="14"/>
      <c r="G45" s="14"/>
      <c r="H45" s="14"/>
      <c r="I45" s="14"/>
      <c r="J45" s="14"/>
      <c r="K45" s="14"/>
      <c r="L45" s="14"/>
      <c r="M45" s="30"/>
    </row>
    <row r="46" spans="2:13" ht="12.75">
      <c r="B46" s="485" t="str">
        <f>B30</f>
        <v>Encarregado</v>
      </c>
      <c r="C46" s="191">
        <v>1</v>
      </c>
      <c r="D46" s="486" t="e">
        <f>$D$30</f>
        <v>#DIV/0!</v>
      </c>
      <c r="E46" s="488" t="e">
        <f>D46/'Áreas da limpeza'!$I$23/C49</f>
        <v>#DIV/0!</v>
      </c>
      <c r="F46" s="14"/>
      <c r="G46" s="14"/>
      <c r="H46" s="14"/>
      <c r="I46" s="14"/>
      <c r="J46" s="14"/>
      <c r="K46" s="14"/>
      <c r="L46" s="14"/>
      <c r="M46" s="30"/>
    </row>
    <row r="47" spans="2:13" ht="12.75">
      <c r="B47" s="485"/>
      <c r="C47" s="191" t="str">
        <f>'Áreas da limpeza'!$I$23&amp;" x "&amp;C49</f>
        <v>18 x 330</v>
      </c>
      <c r="D47" s="487"/>
      <c r="E47" s="489"/>
      <c r="F47" s="14"/>
      <c r="G47" s="14"/>
      <c r="H47" s="14"/>
      <c r="I47" s="14"/>
      <c r="J47" s="14"/>
      <c r="K47" s="14"/>
      <c r="L47" s="14"/>
      <c r="M47" s="30"/>
    </row>
    <row r="48" spans="2:13" ht="12.75">
      <c r="B48" s="485" t="str">
        <f>B32</f>
        <v>Servente de limpeza</v>
      </c>
      <c r="C48" s="191">
        <v>1</v>
      </c>
      <c r="D48" s="486" t="e">
        <f>$D$32</f>
        <v>#DIV/0!</v>
      </c>
      <c r="E48" s="488" t="e">
        <f>D48/C49</f>
        <v>#DIV/0!</v>
      </c>
      <c r="F48" s="14"/>
      <c r="G48" s="14"/>
      <c r="H48" s="14"/>
      <c r="I48" s="14"/>
      <c r="J48" s="14"/>
      <c r="K48" s="14"/>
      <c r="L48" s="14"/>
      <c r="M48" s="30"/>
    </row>
    <row r="49" spans="2:13" ht="12.75">
      <c r="B49" s="485"/>
      <c r="C49" s="359">
        <f>'Áreas da limpeza'!$D$22</f>
        <v>330</v>
      </c>
      <c r="D49" s="487"/>
      <c r="E49" s="489"/>
      <c r="F49" s="14"/>
      <c r="G49" s="14"/>
      <c r="H49" s="14"/>
      <c r="I49" s="14"/>
      <c r="J49" s="14"/>
      <c r="K49" s="14"/>
      <c r="L49" s="14"/>
      <c r="M49" s="30"/>
    </row>
    <row r="50" spans="2:13" ht="13.5" thickBot="1">
      <c r="B50" s="480" t="s">
        <v>62</v>
      </c>
      <c r="C50" s="481"/>
      <c r="D50" s="482"/>
      <c r="E50" s="197" t="e">
        <f>E48+E46</f>
        <v>#DIV/0!</v>
      </c>
      <c r="F50" s="182"/>
      <c r="G50" s="182"/>
      <c r="H50" s="182"/>
      <c r="I50" s="182"/>
      <c r="J50" s="182"/>
      <c r="K50" s="182"/>
      <c r="L50" s="182"/>
      <c r="M50" s="20"/>
    </row>
  </sheetData>
  <sheetProtection/>
  <mergeCells count="99">
    <mergeCell ref="B3:E3"/>
    <mergeCell ref="B11:E11"/>
    <mergeCell ref="G9:L9"/>
    <mergeCell ref="B9:D9"/>
    <mergeCell ref="K5:K6"/>
    <mergeCell ref="K7:K8"/>
    <mergeCell ref="B13:B14"/>
    <mergeCell ref="D13:D14"/>
    <mergeCell ref="E13:E14"/>
    <mergeCell ref="I13:I14"/>
    <mergeCell ref="B2:M2"/>
    <mergeCell ref="G5:G6"/>
    <mergeCell ref="I5:I6"/>
    <mergeCell ref="B7:B8"/>
    <mergeCell ref="D5:D6"/>
    <mergeCell ref="D7:D8"/>
    <mergeCell ref="B5:B6"/>
    <mergeCell ref="G3:M3"/>
    <mergeCell ref="E5:E6"/>
    <mergeCell ref="E7:E8"/>
    <mergeCell ref="M15:M16"/>
    <mergeCell ref="M5:M6"/>
    <mergeCell ref="M7:M8"/>
    <mergeCell ref="G7:G8"/>
    <mergeCell ref="I7:I8"/>
    <mergeCell ref="G13:G14"/>
    <mergeCell ref="L5:L6"/>
    <mergeCell ref="L7:L8"/>
    <mergeCell ref="G11:M11"/>
    <mergeCell ref="K13:K14"/>
    <mergeCell ref="L30:L31"/>
    <mergeCell ref="K15:K16"/>
    <mergeCell ref="D15:D16"/>
    <mergeCell ref="E15:E16"/>
    <mergeCell ref="D23:D24"/>
    <mergeCell ref="E23:E24"/>
    <mergeCell ref="B19:E19"/>
    <mergeCell ref="I15:I16"/>
    <mergeCell ref="B15:B16"/>
    <mergeCell ref="I30:I31"/>
    <mergeCell ref="K30:K31"/>
    <mergeCell ref="B23:B24"/>
    <mergeCell ref="M30:M31"/>
    <mergeCell ref="B1:M1"/>
    <mergeCell ref="B21:B22"/>
    <mergeCell ref="D21:D22"/>
    <mergeCell ref="E21:E22"/>
    <mergeCell ref="L13:L14"/>
    <mergeCell ref="M13:M14"/>
    <mergeCell ref="L15:L16"/>
    <mergeCell ref="G15:G16"/>
    <mergeCell ref="B30:B31"/>
    <mergeCell ref="D30:D31"/>
    <mergeCell ref="E30:E31"/>
    <mergeCell ref="G30:G31"/>
    <mergeCell ref="B17:D17"/>
    <mergeCell ref="B25:D25"/>
    <mergeCell ref="G17:L17"/>
    <mergeCell ref="B27:M27"/>
    <mergeCell ref="B28:E28"/>
    <mergeCell ref="M32:M33"/>
    <mergeCell ref="B36:E36"/>
    <mergeCell ref="G38:G39"/>
    <mergeCell ref="I38:I39"/>
    <mergeCell ref="B32:B33"/>
    <mergeCell ref="D32:D33"/>
    <mergeCell ref="E32:E33"/>
    <mergeCell ref="G32:G33"/>
    <mergeCell ref="I32:I33"/>
    <mergeCell ref="B38:B39"/>
    <mergeCell ref="L32:L33"/>
    <mergeCell ref="K32:K33"/>
    <mergeCell ref="G36:M36"/>
    <mergeCell ref="B40:B41"/>
    <mergeCell ref="E38:E39"/>
    <mergeCell ref="K38:K39"/>
    <mergeCell ref="L38:L39"/>
    <mergeCell ref="M38:M39"/>
    <mergeCell ref="M40:M41"/>
    <mergeCell ref="D38:D39"/>
    <mergeCell ref="G28:M28"/>
    <mergeCell ref="L40:L41"/>
    <mergeCell ref="B42:D42"/>
    <mergeCell ref="I40:I41"/>
    <mergeCell ref="D40:D41"/>
    <mergeCell ref="E40:E41"/>
    <mergeCell ref="G40:G41"/>
    <mergeCell ref="K40:K41"/>
    <mergeCell ref="G34:L34"/>
    <mergeCell ref="B34:D34"/>
    <mergeCell ref="B50:D50"/>
    <mergeCell ref="G42:L42"/>
    <mergeCell ref="B48:B49"/>
    <mergeCell ref="D48:D49"/>
    <mergeCell ref="E48:E49"/>
    <mergeCell ref="B44:E44"/>
    <mergeCell ref="B46:B47"/>
    <mergeCell ref="D46:D47"/>
    <mergeCell ref="E46:E47"/>
  </mergeCells>
  <printOptions/>
  <pageMargins left="0.35" right="0.32" top="0.25" bottom="0.26" header="0.23" footer="0.25"/>
  <pageSetup fitToHeight="1" fitToWidth="1" horizontalDpi="300" verticalDpi="3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7.7109375" style="0" customWidth="1"/>
    <col min="3" max="3" width="13.00390625" style="0" customWidth="1"/>
    <col min="4" max="4" width="14.140625" style="0" customWidth="1"/>
    <col min="5" max="5" width="12.7109375" style="0" customWidth="1"/>
    <col min="6" max="6" width="3.421875" style="0" customWidth="1"/>
    <col min="7" max="7" width="17.7109375" style="0" customWidth="1"/>
    <col min="8" max="8" width="13.00390625" style="0" customWidth="1"/>
    <col min="9" max="9" width="14.8515625" style="0" customWidth="1"/>
    <col min="10" max="10" width="17.57421875" style="0" customWidth="1"/>
    <col min="11" max="11" width="12.7109375" style="0" customWidth="1"/>
    <col min="12" max="12" width="13.00390625" style="0" customWidth="1"/>
    <col min="13" max="13" width="12.8515625" style="0" customWidth="1"/>
  </cols>
  <sheetData>
    <row r="1" spans="2:13" ht="13.5" thickBot="1">
      <c r="B1" s="439" t="s">
        <v>170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2:13" ht="13.5" thickBot="1">
      <c r="B2" s="521" t="s">
        <v>53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3"/>
    </row>
    <row r="3" spans="2:13" ht="12.75">
      <c r="B3" s="512" t="s">
        <v>153</v>
      </c>
      <c r="C3" s="513"/>
      <c r="D3" s="513"/>
      <c r="E3" s="514"/>
      <c r="F3" s="186"/>
      <c r="G3" s="493" t="s">
        <v>154</v>
      </c>
      <c r="H3" s="494"/>
      <c r="I3" s="494"/>
      <c r="J3" s="494"/>
      <c r="K3" s="494"/>
      <c r="L3" s="494"/>
      <c r="M3" s="495"/>
    </row>
    <row r="4" spans="2:13" ht="38.25">
      <c r="B4" s="187" t="s">
        <v>155</v>
      </c>
      <c r="C4" s="185" t="s">
        <v>156</v>
      </c>
      <c r="D4" s="185" t="s">
        <v>157</v>
      </c>
      <c r="E4" s="188" t="s">
        <v>158</v>
      </c>
      <c r="F4" s="189"/>
      <c r="G4" s="187" t="s">
        <v>155</v>
      </c>
      <c r="H4" s="185" t="s">
        <v>156</v>
      </c>
      <c r="I4" s="185" t="s">
        <v>159</v>
      </c>
      <c r="J4" s="190" t="s">
        <v>160</v>
      </c>
      <c r="K4" s="185" t="s">
        <v>161</v>
      </c>
      <c r="L4" s="185" t="s">
        <v>162</v>
      </c>
      <c r="M4" s="188" t="s">
        <v>163</v>
      </c>
    </row>
    <row r="5" spans="2:13" ht="12.75">
      <c r="B5" s="485" t="str">
        <f>'MOB Vinc'!$E$5</f>
        <v>Encarregado</v>
      </c>
      <c r="C5" s="191">
        <v>1</v>
      </c>
      <c r="D5" s="486" t="e">
        <f>INT('Custo por empregado'!H12*100)/100</f>
        <v>#DIV/0!</v>
      </c>
      <c r="E5" s="488" t="e">
        <f>D5/'Áreas da limpeza'!$I$3/C8</f>
        <v>#DIV/0!</v>
      </c>
      <c r="F5" s="189"/>
      <c r="G5" s="485" t="str">
        <f>B5</f>
        <v>Encarregado</v>
      </c>
      <c r="H5" s="191">
        <v>1</v>
      </c>
      <c r="I5" s="496">
        <v>16</v>
      </c>
      <c r="J5" s="192">
        <v>1</v>
      </c>
      <c r="K5" s="498">
        <f>1/'Áreas da limpeza'!$I$17/H8*I5/J6</f>
        <v>2.1109738978077536E-05</v>
      </c>
      <c r="L5" s="486" t="e">
        <f>$D$5</f>
        <v>#DIV/0!</v>
      </c>
      <c r="M5" s="488" t="e">
        <f>L5*K5</f>
        <v>#DIV/0!</v>
      </c>
    </row>
    <row r="6" spans="2:13" ht="12.75">
      <c r="B6" s="485"/>
      <c r="C6" s="191" t="str">
        <f>'Áreas da limpeza'!$I$3&amp;" x "&amp;C8</f>
        <v>18 x 600</v>
      </c>
      <c r="D6" s="487"/>
      <c r="E6" s="508"/>
      <c r="F6" s="189"/>
      <c r="G6" s="485"/>
      <c r="H6" s="191" t="str">
        <f>'Áreas da limpeza'!$I$17&amp;" x "&amp;H8</f>
        <v>18 x 220</v>
      </c>
      <c r="I6" s="497"/>
      <c r="J6" s="193">
        <v>191.4</v>
      </c>
      <c r="K6" s="498"/>
      <c r="L6" s="487"/>
      <c r="M6" s="489"/>
    </row>
    <row r="7" spans="2:13" ht="12.75">
      <c r="B7" s="503" t="str">
        <f>'MOB Vinc'!$M$5</f>
        <v>Servente de limpeza</v>
      </c>
      <c r="C7" s="191">
        <v>1</v>
      </c>
      <c r="D7" s="486" t="e">
        <f>INT('Custo por empregado'!H24*100)/100</f>
        <v>#DIV/0!</v>
      </c>
      <c r="E7" s="488" t="e">
        <f>D7/C8</f>
        <v>#DIV/0!</v>
      </c>
      <c r="F7" s="189"/>
      <c r="G7" s="485" t="str">
        <f>B7</f>
        <v>Servente de limpeza</v>
      </c>
      <c r="H7" s="191">
        <v>1</v>
      </c>
      <c r="I7" s="496">
        <v>16</v>
      </c>
      <c r="J7" s="192">
        <v>1</v>
      </c>
      <c r="K7" s="499">
        <f>1/H8*I7/J8</f>
        <v>0.0003799753016053956</v>
      </c>
      <c r="L7" s="486" t="e">
        <f>$D$7</f>
        <v>#DIV/0!</v>
      </c>
      <c r="M7" s="488" t="e">
        <f>L7*K7</f>
        <v>#DIV/0!</v>
      </c>
    </row>
    <row r="8" spans="2:13" ht="12.75">
      <c r="B8" s="504"/>
      <c r="C8" s="359">
        <f>'Áreas da limpeza'!$D$2</f>
        <v>600</v>
      </c>
      <c r="D8" s="487"/>
      <c r="E8" s="489"/>
      <c r="F8" s="189"/>
      <c r="G8" s="485"/>
      <c r="H8" s="359">
        <f>'Áreas da limpeza'!$D$16</f>
        <v>220</v>
      </c>
      <c r="I8" s="497"/>
      <c r="J8" s="198">
        <v>191.4</v>
      </c>
      <c r="K8" s="499"/>
      <c r="L8" s="487"/>
      <c r="M8" s="489"/>
    </row>
    <row r="9" spans="2:13" ht="13.5" thickBot="1">
      <c r="B9" s="480" t="s">
        <v>62</v>
      </c>
      <c r="C9" s="481"/>
      <c r="D9" s="482"/>
      <c r="E9" s="197" t="e">
        <f>E7+E5</f>
        <v>#DIV/0!</v>
      </c>
      <c r="F9" s="189"/>
      <c r="G9" s="483" t="s">
        <v>62</v>
      </c>
      <c r="H9" s="484"/>
      <c r="I9" s="484"/>
      <c r="J9" s="484"/>
      <c r="K9" s="484"/>
      <c r="L9" s="484"/>
      <c r="M9" s="194" t="e">
        <f>M7+M5</f>
        <v>#DIV/0!</v>
      </c>
    </row>
    <row r="10" spans="2:13" ht="7.5" customHeight="1" thickBot="1">
      <c r="B10" s="195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96"/>
    </row>
    <row r="11" spans="2:13" ht="12.75">
      <c r="B11" s="505" t="s">
        <v>164</v>
      </c>
      <c r="C11" s="506"/>
      <c r="D11" s="506"/>
      <c r="E11" s="507"/>
      <c r="F11" s="189"/>
      <c r="G11" s="500" t="s">
        <v>165</v>
      </c>
      <c r="H11" s="501"/>
      <c r="I11" s="501"/>
      <c r="J11" s="501"/>
      <c r="K11" s="501"/>
      <c r="L11" s="501"/>
      <c r="M11" s="502"/>
    </row>
    <row r="12" spans="2:13" ht="38.25">
      <c r="B12" s="187" t="s">
        <v>155</v>
      </c>
      <c r="C12" s="185" t="s">
        <v>156</v>
      </c>
      <c r="D12" s="185" t="s">
        <v>157</v>
      </c>
      <c r="E12" s="188" t="s">
        <v>158</v>
      </c>
      <c r="F12" s="189"/>
      <c r="G12" s="187" t="s">
        <v>155</v>
      </c>
      <c r="H12" s="185" t="s">
        <v>156</v>
      </c>
      <c r="I12" s="185" t="s">
        <v>166</v>
      </c>
      <c r="J12" s="185" t="s">
        <v>167</v>
      </c>
      <c r="K12" s="185" t="s">
        <v>168</v>
      </c>
      <c r="L12" s="185" t="s">
        <v>162</v>
      </c>
      <c r="M12" s="188" t="s">
        <v>163</v>
      </c>
    </row>
    <row r="13" spans="2:13" ht="12.75">
      <c r="B13" s="485" t="str">
        <f>B5</f>
        <v>Encarregado</v>
      </c>
      <c r="C13" s="191">
        <v>1</v>
      </c>
      <c r="D13" s="486" t="e">
        <f>$D$5</f>
        <v>#DIV/0!</v>
      </c>
      <c r="E13" s="488" t="e">
        <f>D13/'Áreas da limpeza'!$I$10/C16</f>
        <v>#DIV/0!</v>
      </c>
      <c r="F13" s="189"/>
      <c r="G13" s="485" t="str">
        <f>B5</f>
        <v>Encarregado</v>
      </c>
      <c r="H13" s="191">
        <v>1</v>
      </c>
      <c r="I13" s="496">
        <v>8</v>
      </c>
      <c r="J13" s="191">
        <v>1</v>
      </c>
      <c r="K13" s="498">
        <f>1/'Áreas da limpeza'!$I$21/H16*I13/J14</f>
        <v>1.583230423355815E-05</v>
      </c>
      <c r="L13" s="486" t="e">
        <f>$D$5</f>
        <v>#DIV/0!</v>
      </c>
      <c r="M13" s="488" t="e">
        <f>L13*K13</f>
        <v>#DIV/0!</v>
      </c>
    </row>
    <row r="14" spans="2:13" ht="12.75">
      <c r="B14" s="485"/>
      <c r="C14" s="191" t="str">
        <f>'Áreas da limpeza'!$I$10&amp;" x "&amp;C16</f>
        <v>18 x 1200</v>
      </c>
      <c r="D14" s="487"/>
      <c r="E14" s="489"/>
      <c r="F14" s="189"/>
      <c r="G14" s="485"/>
      <c r="H14" s="360" t="str">
        <f>'Áreas da limpeza'!$I$21&amp;" x "&amp;H16</f>
        <v>4 x 110</v>
      </c>
      <c r="I14" s="497"/>
      <c r="J14" s="193">
        <v>1148.4</v>
      </c>
      <c r="K14" s="498"/>
      <c r="L14" s="487"/>
      <c r="M14" s="489"/>
    </row>
    <row r="15" spans="2:13" ht="12.75">
      <c r="B15" s="503" t="str">
        <f>B7</f>
        <v>Servente de limpeza</v>
      </c>
      <c r="C15" s="191">
        <v>1</v>
      </c>
      <c r="D15" s="486" t="e">
        <f>$D$7</f>
        <v>#DIV/0!</v>
      </c>
      <c r="E15" s="488" t="e">
        <f>D15/C16</f>
        <v>#DIV/0!</v>
      </c>
      <c r="F15" s="189"/>
      <c r="G15" s="485" t="str">
        <f>B7</f>
        <v>Servente de limpeza</v>
      </c>
      <c r="H15" s="191">
        <v>1</v>
      </c>
      <c r="I15" s="496">
        <v>8</v>
      </c>
      <c r="J15" s="191">
        <v>1</v>
      </c>
      <c r="K15" s="498">
        <f>1/H16*I15/J16</f>
        <v>6.33292169342326E-05</v>
      </c>
      <c r="L15" s="486" t="e">
        <f>$D$7</f>
        <v>#DIV/0!</v>
      </c>
      <c r="M15" s="488" t="e">
        <f>L15*K15</f>
        <v>#DIV/0!</v>
      </c>
    </row>
    <row r="16" spans="2:13" ht="12.75">
      <c r="B16" s="504"/>
      <c r="C16" s="359">
        <f>'Áreas da limpeza'!$D$9</f>
        <v>1200</v>
      </c>
      <c r="D16" s="487"/>
      <c r="E16" s="489"/>
      <c r="F16" s="189"/>
      <c r="G16" s="485"/>
      <c r="H16" s="359">
        <f>'Áreas da limpeza'!$D$20</f>
        <v>110</v>
      </c>
      <c r="I16" s="497"/>
      <c r="J16" s="198">
        <v>1148.4</v>
      </c>
      <c r="K16" s="498"/>
      <c r="L16" s="487"/>
      <c r="M16" s="489"/>
    </row>
    <row r="17" spans="2:13" ht="13.5" thickBot="1">
      <c r="B17" s="480" t="s">
        <v>62</v>
      </c>
      <c r="C17" s="481"/>
      <c r="D17" s="482"/>
      <c r="E17" s="197" t="e">
        <f>E15+E13</f>
        <v>#DIV/0!</v>
      </c>
      <c r="F17" s="189"/>
      <c r="G17" s="483" t="s">
        <v>62</v>
      </c>
      <c r="H17" s="484"/>
      <c r="I17" s="484"/>
      <c r="J17" s="484"/>
      <c r="K17" s="484"/>
      <c r="L17" s="484"/>
      <c r="M17" s="194" t="e">
        <f>M15+M13</f>
        <v>#DIV/0!</v>
      </c>
    </row>
    <row r="18" spans="2:13" ht="7.5" customHeight="1" thickBo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30"/>
    </row>
    <row r="19" spans="2:13" ht="12.75">
      <c r="B19" s="490" t="s">
        <v>169</v>
      </c>
      <c r="C19" s="491"/>
      <c r="D19" s="491"/>
      <c r="E19" s="492"/>
      <c r="F19" s="14"/>
      <c r="G19" s="14"/>
      <c r="H19" s="14"/>
      <c r="I19" s="14"/>
      <c r="J19" s="14"/>
      <c r="K19" s="14"/>
      <c r="L19" s="14"/>
      <c r="M19" s="30"/>
    </row>
    <row r="20" spans="2:13" ht="38.25">
      <c r="B20" s="187" t="s">
        <v>155</v>
      </c>
      <c r="C20" s="185" t="s">
        <v>156</v>
      </c>
      <c r="D20" s="185" t="s">
        <v>157</v>
      </c>
      <c r="E20" s="188" t="s">
        <v>158</v>
      </c>
      <c r="F20" s="14"/>
      <c r="G20" s="14"/>
      <c r="H20" s="14"/>
      <c r="I20" s="14"/>
      <c r="J20" s="14"/>
      <c r="K20" s="14"/>
      <c r="L20" s="14"/>
      <c r="M20" s="30"/>
    </row>
    <row r="21" spans="2:13" ht="12.75">
      <c r="B21" s="485" t="str">
        <f>B5</f>
        <v>Encarregado</v>
      </c>
      <c r="C21" s="191">
        <v>1</v>
      </c>
      <c r="D21" s="486" t="e">
        <f>$D$5</f>
        <v>#DIV/0!</v>
      </c>
      <c r="E21" s="488" t="e">
        <f>D21/'Áreas da limpeza'!$I$23/C24</f>
        <v>#DIV/0!</v>
      </c>
      <c r="F21" s="14"/>
      <c r="G21" s="14"/>
      <c r="H21" s="14"/>
      <c r="I21" s="14"/>
      <c r="J21" s="14"/>
      <c r="K21" s="14"/>
      <c r="L21" s="14"/>
      <c r="M21" s="30"/>
    </row>
    <row r="22" spans="2:13" ht="12.75">
      <c r="B22" s="485"/>
      <c r="C22" s="191" t="str">
        <f>'Áreas da limpeza'!$I$23&amp;" x "&amp;C24</f>
        <v>18 x 330</v>
      </c>
      <c r="D22" s="487"/>
      <c r="E22" s="489"/>
      <c r="F22" s="14"/>
      <c r="G22" s="14"/>
      <c r="H22" s="14"/>
      <c r="I22" s="14"/>
      <c r="J22" s="14"/>
      <c r="K22" s="14"/>
      <c r="L22" s="14"/>
      <c r="M22" s="30"/>
    </row>
    <row r="23" spans="2:13" ht="12.75">
      <c r="B23" s="485" t="str">
        <f>B7</f>
        <v>Servente de limpeza</v>
      </c>
      <c r="C23" s="191">
        <v>1</v>
      </c>
      <c r="D23" s="486" t="e">
        <f>$D$7</f>
        <v>#DIV/0!</v>
      </c>
      <c r="E23" s="488" t="e">
        <f>D23/C24</f>
        <v>#DIV/0!</v>
      </c>
      <c r="F23" s="14"/>
      <c r="G23" s="14"/>
      <c r="H23" s="14"/>
      <c r="I23" s="14"/>
      <c r="J23" s="14"/>
      <c r="K23" s="14"/>
      <c r="L23" s="14"/>
      <c r="M23" s="30"/>
    </row>
    <row r="24" spans="2:13" ht="12.75">
      <c r="B24" s="485"/>
      <c r="C24" s="359">
        <f>'Áreas da limpeza'!$D$22</f>
        <v>330</v>
      </c>
      <c r="D24" s="487"/>
      <c r="E24" s="489"/>
      <c r="F24" s="14"/>
      <c r="G24" s="14"/>
      <c r="H24" s="14"/>
      <c r="I24" s="14"/>
      <c r="J24" s="14"/>
      <c r="K24" s="14"/>
      <c r="L24" s="14"/>
      <c r="M24" s="30"/>
    </row>
    <row r="25" spans="2:13" ht="13.5" thickBot="1">
      <c r="B25" s="480" t="s">
        <v>62</v>
      </c>
      <c r="C25" s="481"/>
      <c r="D25" s="482"/>
      <c r="E25" s="197" t="e">
        <f>E23+E21</f>
        <v>#DIV/0!</v>
      </c>
      <c r="F25" s="182"/>
      <c r="G25" s="182"/>
      <c r="H25" s="182"/>
      <c r="I25" s="182"/>
      <c r="J25" s="182"/>
      <c r="K25" s="182"/>
      <c r="L25" s="182"/>
      <c r="M25" s="20"/>
    </row>
  </sheetData>
  <sheetProtection password="D667" sheet="1" objects="1" scenarios="1"/>
  <mergeCells count="50">
    <mergeCell ref="B23:B24"/>
    <mergeCell ref="D23:D24"/>
    <mergeCell ref="E23:E24"/>
    <mergeCell ref="B19:E19"/>
    <mergeCell ref="B21:B22"/>
    <mergeCell ref="D21:D22"/>
    <mergeCell ref="E21:E22"/>
    <mergeCell ref="M13:M14"/>
    <mergeCell ref="B15:B16"/>
    <mergeCell ref="D15:D16"/>
    <mergeCell ref="E15:E16"/>
    <mergeCell ref="G15:G16"/>
    <mergeCell ref="I15:I16"/>
    <mergeCell ref="K15:K16"/>
    <mergeCell ref="L15:L16"/>
    <mergeCell ref="M15:M16"/>
    <mergeCell ref="G13:G14"/>
    <mergeCell ref="B9:D9"/>
    <mergeCell ref="L13:L14"/>
    <mergeCell ref="I7:I8"/>
    <mergeCell ref="K7:K8"/>
    <mergeCell ref="L7:L8"/>
    <mergeCell ref="I13:I14"/>
    <mergeCell ref="B5:B6"/>
    <mergeCell ref="D5:D6"/>
    <mergeCell ref="E5:E6"/>
    <mergeCell ref="G5:G6"/>
    <mergeCell ref="M7:M8"/>
    <mergeCell ref="B7:B8"/>
    <mergeCell ref="D7:D8"/>
    <mergeCell ref="E7:E8"/>
    <mergeCell ref="G7:G8"/>
    <mergeCell ref="I5:I6"/>
    <mergeCell ref="K5:K6"/>
    <mergeCell ref="M5:M6"/>
    <mergeCell ref="L5:L6"/>
    <mergeCell ref="B1:M1"/>
    <mergeCell ref="B2:M2"/>
    <mergeCell ref="B3:E3"/>
    <mergeCell ref="G3:M3"/>
    <mergeCell ref="B17:D17"/>
    <mergeCell ref="B25:D25"/>
    <mergeCell ref="G9:L9"/>
    <mergeCell ref="G17:L17"/>
    <mergeCell ref="B11:E11"/>
    <mergeCell ref="G11:M11"/>
    <mergeCell ref="B13:B14"/>
    <mergeCell ref="D13:D14"/>
    <mergeCell ref="E13:E14"/>
    <mergeCell ref="K13:K14"/>
  </mergeCells>
  <printOptions/>
  <pageMargins left="0.35" right="0.32" top="0.49" bottom="0.26" header="0.23" footer="0.25"/>
  <pageSetup fitToHeight="1" fitToWidth="1" horizontalDpi="300" verticalDpi="3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4.421875" style="0" customWidth="1"/>
    <col min="3" max="3" width="32.8515625" style="0" customWidth="1"/>
    <col min="4" max="4" width="16.00390625" style="0" customWidth="1"/>
    <col min="5" max="5" width="12.7109375" style="0" customWidth="1"/>
    <col min="6" max="6" width="14.28125" style="0" customWidth="1"/>
    <col min="7" max="7" width="8.28125" style="0" customWidth="1"/>
    <col min="8" max="8" width="15.57421875" style="0" customWidth="1"/>
  </cols>
  <sheetData>
    <row r="1" spans="2:8" ht="12.75">
      <c r="B1" s="460" t="s">
        <v>273</v>
      </c>
      <c r="C1" s="460"/>
      <c r="D1" s="460"/>
      <c r="E1" s="460"/>
      <c r="F1" s="460"/>
      <c r="G1" s="460"/>
      <c r="H1" s="460"/>
    </row>
    <row r="2" spans="2:8" ht="56.25" customHeight="1" thickBot="1">
      <c r="B2" s="524" t="s">
        <v>241</v>
      </c>
      <c r="C2" s="524"/>
      <c r="D2" s="315" t="s">
        <v>242</v>
      </c>
      <c r="E2" s="315" t="s">
        <v>243</v>
      </c>
      <c r="F2" s="315" t="s">
        <v>244</v>
      </c>
      <c r="G2" s="315" t="s">
        <v>245</v>
      </c>
      <c r="H2" s="315" t="s">
        <v>246</v>
      </c>
    </row>
    <row r="3" spans="2:8" ht="12.75" customHeight="1">
      <c r="B3" s="525" t="s">
        <v>127</v>
      </c>
      <c r="C3" s="526"/>
      <c r="D3" s="526"/>
      <c r="E3" s="526"/>
      <c r="F3" s="526"/>
      <c r="G3" s="526"/>
      <c r="H3" s="527"/>
    </row>
    <row r="4" spans="2:8" ht="12.75">
      <c r="B4" s="316" t="s">
        <v>6</v>
      </c>
      <c r="C4" s="317" t="str">
        <f>UPPER('MOB Vinc'!$E$5)</f>
        <v>ENCARREGADO</v>
      </c>
      <c r="D4" s="38" t="e">
        <f>'Custo por empregado'!D12</f>
        <v>#DIV/0!</v>
      </c>
      <c r="E4" s="318">
        <v>1</v>
      </c>
      <c r="F4" s="38" t="e">
        <f>INT(E4*D4*100)/100</f>
        <v>#DIV/0!</v>
      </c>
      <c r="G4" s="319">
        <f>'MOB Vinc'!$F$7</f>
        <v>2</v>
      </c>
      <c r="H4" s="24" t="e">
        <f>G4*F4</f>
        <v>#DIV/0!</v>
      </c>
    </row>
    <row r="5" spans="2:8" ht="12.75">
      <c r="B5" s="316" t="s">
        <v>247</v>
      </c>
      <c r="C5" s="317" t="str">
        <f>UPPER('MOB Vinc'!$M$5)</f>
        <v>SERVENTE DE LIMPEZA</v>
      </c>
      <c r="D5" s="38" t="e">
        <f>'Custo por empregado'!D24</f>
        <v>#DIV/0!</v>
      </c>
      <c r="E5" s="318">
        <v>1</v>
      </c>
      <c r="F5" s="38" t="e">
        <f>INT(E5*D5*100)/100</f>
        <v>#DIV/0!</v>
      </c>
      <c r="G5" s="319">
        <f>'MOB Vinc'!$N$7</f>
        <v>25</v>
      </c>
      <c r="H5" s="24" t="e">
        <f>G5*F5</f>
        <v>#DIV/0!</v>
      </c>
    </row>
    <row r="6" spans="2:8" ht="13.5" thickBot="1">
      <c r="B6" s="13"/>
      <c r="C6" s="14"/>
      <c r="D6" s="14"/>
      <c r="E6" s="14"/>
      <c r="F6" s="14"/>
      <c r="G6" s="14"/>
      <c r="H6" s="30"/>
    </row>
    <row r="7" spans="2:8" ht="13.5" thickBot="1">
      <c r="B7" s="398" t="s">
        <v>152</v>
      </c>
      <c r="C7" s="399"/>
      <c r="D7" s="399"/>
      <c r="E7" s="399"/>
      <c r="F7" s="399"/>
      <c r="G7" s="400"/>
      <c r="H7" s="320" t="e">
        <f>H5+H4</f>
        <v>#DIV/0!</v>
      </c>
    </row>
    <row r="8" ht="13.5" thickBot="1"/>
    <row r="9" spans="2:8" ht="12.75" customHeight="1">
      <c r="B9" s="528" t="s">
        <v>136</v>
      </c>
      <c r="C9" s="529"/>
      <c r="D9" s="529"/>
      <c r="E9" s="529"/>
      <c r="F9" s="529"/>
      <c r="G9" s="529"/>
      <c r="H9" s="530"/>
    </row>
    <row r="10" spans="2:8" ht="12.75">
      <c r="B10" s="316" t="s">
        <v>6</v>
      </c>
      <c r="C10" s="317" t="str">
        <f>UPPER('MOB Vinc'!$E$5)</f>
        <v>ENCARREGADO</v>
      </c>
      <c r="D10" s="38" t="e">
        <f>'Custo por empregado'!F12</f>
        <v>#DIV/0!</v>
      </c>
      <c r="E10" s="318">
        <v>1</v>
      </c>
      <c r="F10" s="38" t="e">
        <f>INT(E10*D10*100)/100</f>
        <v>#DIV/0!</v>
      </c>
      <c r="G10" s="319">
        <f>'MOB Vinc'!$F$7</f>
        <v>2</v>
      </c>
      <c r="H10" s="24" t="e">
        <f>G10*F10</f>
        <v>#DIV/0!</v>
      </c>
    </row>
    <row r="11" spans="2:8" ht="12.75">
      <c r="B11" s="316" t="s">
        <v>247</v>
      </c>
      <c r="C11" s="317" t="str">
        <f>UPPER('MOB Vinc'!$M$5)</f>
        <v>SERVENTE DE LIMPEZA</v>
      </c>
      <c r="D11" s="38" t="e">
        <f>'Custo por empregado'!F24</f>
        <v>#DIV/0!</v>
      </c>
      <c r="E11" s="318">
        <v>1</v>
      </c>
      <c r="F11" s="38" t="e">
        <f>INT(E11*D11*100)/100</f>
        <v>#DIV/0!</v>
      </c>
      <c r="G11" s="319">
        <f>'MOB Vinc'!$N$7</f>
        <v>25</v>
      </c>
      <c r="H11" s="24" t="e">
        <f>G11*F11</f>
        <v>#DIV/0!</v>
      </c>
    </row>
    <row r="12" spans="2:8" ht="13.5" thickBot="1">
      <c r="B12" s="13"/>
      <c r="C12" s="14"/>
      <c r="D12" s="14"/>
      <c r="E12" s="14"/>
      <c r="F12" s="14"/>
      <c r="G12" s="14"/>
      <c r="H12" s="30"/>
    </row>
    <row r="13" spans="2:8" ht="13.5" thickBot="1">
      <c r="B13" s="398" t="s">
        <v>152</v>
      </c>
      <c r="C13" s="399"/>
      <c r="D13" s="399"/>
      <c r="E13" s="399"/>
      <c r="F13" s="399"/>
      <c r="G13" s="400"/>
      <c r="H13" s="320" t="e">
        <f>H11+H10</f>
        <v>#DIV/0!</v>
      </c>
    </row>
    <row r="14" ht="13.5" thickBot="1"/>
    <row r="15" spans="2:8" ht="12.75" customHeight="1">
      <c r="B15" s="531" t="s">
        <v>53</v>
      </c>
      <c r="C15" s="532"/>
      <c r="D15" s="532"/>
      <c r="E15" s="532"/>
      <c r="F15" s="532"/>
      <c r="G15" s="532"/>
      <c r="H15" s="533"/>
    </row>
    <row r="16" spans="2:8" ht="12.75">
      <c r="B16" s="316" t="s">
        <v>6</v>
      </c>
      <c r="C16" s="317" t="str">
        <f>UPPER('MOB Vinc'!$E$5)</f>
        <v>ENCARREGADO</v>
      </c>
      <c r="D16" s="38" t="e">
        <f>'Custo por empregado'!H12</f>
        <v>#DIV/0!</v>
      </c>
      <c r="E16" s="318">
        <v>1</v>
      </c>
      <c r="F16" s="38" t="e">
        <f>INT(E16*D16*100)/100</f>
        <v>#DIV/0!</v>
      </c>
      <c r="G16" s="319">
        <f>'MOB Vinc'!$F$7</f>
        <v>2</v>
      </c>
      <c r="H16" s="24" t="e">
        <f>G16*F16</f>
        <v>#DIV/0!</v>
      </c>
    </row>
    <row r="17" spans="2:8" ht="12.75">
      <c r="B17" s="316" t="s">
        <v>247</v>
      </c>
      <c r="C17" s="317" t="str">
        <f>UPPER('MOB Vinc'!$M$5)</f>
        <v>SERVENTE DE LIMPEZA</v>
      </c>
      <c r="D17" s="38" t="e">
        <f>'Custo por empregado'!H24</f>
        <v>#DIV/0!</v>
      </c>
      <c r="E17" s="318">
        <v>1</v>
      </c>
      <c r="F17" s="38" t="e">
        <f>INT(E17*D17*100)/100</f>
        <v>#DIV/0!</v>
      </c>
      <c r="G17" s="319">
        <f>'MOB Vinc'!$N$7</f>
        <v>25</v>
      </c>
      <c r="H17" s="24" t="e">
        <f>G17*F17</f>
        <v>#DIV/0!</v>
      </c>
    </row>
    <row r="18" spans="2:8" ht="13.5" thickBot="1">
      <c r="B18" s="13"/>
      <c r="C18" s="14"/>
      <c r="D18" s="14"/>
      <c r="E18" s="14"/>
      <c r="F18" s="14"/>
      <c r="G18" s="14"/>
      <c r="H18" s="30"/>
    </row>
    <row r="19" spans="2:8" ht="13.5" thickBot="1">
      <c r="B19" s="398" t="s">
        <v>152</v>
      </c>
      <c r="C19" s="399"/>
      <c r="D19" s="399"/>
      <c r="E19" s="399"/>
      <c r="F19" s="399"/>
      <c r="G19" s="400"/>
      <c r="H19" s="320" t="e">
        <f>H17+H16</f>
        <v>#DIV/0!</v>
      </c>
    </row>
  </sheetData>
  <sheetProtection password="D667" sheet="1" objects="1" scenarios="1"/>
  <mergeCells count="8">
    <mergeCell ref="B9:H9"/>
    <mergeCell ref="B13:G13"/>
    <mergeCell ref="B15:H15"/>
    <mergeCell ref="B19:G19"/>
    <mergeCell ref="B2:C2"/>
    <mergeCell ref="B1:H1"/>
    <mergeCell ref="B3:H3"/>
    <mergeCell ref="B7:G7"/>
  </mergeCells>
  <printOptions/>
  <pageMargins left="0.75" right="0.75" top="1" bottom="1" header="0.492125985" footer="0.49212598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6">
    <pageSetUpPr fitToPage="1"/>
  </sheetPr>
  <dimension ref="B1:J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7.421875" style="0" customWidth="1"/>
    <col min="3" max="5" width="15.7109375" style="0" customWidth="1"/>
    <col min="6" max="6" width="2.421875" style="0" customWidth="1"/>
    <col min="7" max="7" width="15.140625" style="0" customWidth="1"/>
    <col min="8" max="9" width="15.7109375" style="0" customWidth="1"/>
    <col min="10" max="10" width="8.8515625" style="0" customWidth="1"/>
    <col min="11" max="24" width="9.140625" style="14" customWidth="1"/>
  </cols>
  <sheetData>
    <row r="1" spans="2:10" ht="13.5" thickBot="1">
      <c r="B1" s="460" t="s">
        <v>248</v>
      </c>
      <c r="C1" s="460"/>
      <c r="D1" s="460"/>
      <c r="E1" s="460"/>
      <c r="F1" s="460"/>
      <c r="G1" s="460"/>
      <c r="H1" s="460"/>
      <c r="I1" s="460"/>
      <c r="J1" s="180"/>
    </row>
    <row r="2" spans="2:10" ht="12.75">
      <c r="B2" s="525" t="s">
        <v>127</v>
      </c>
      <c r="C2" s="526"/>
      <c r="D2" s="526"/>
      <c r="E2" s="527"/>
      <c r="F2" s="44"/>
      <c r="G2" s="528" t="s">
        <v>136</v>
      </c>
      <c r="H2" s="529"/>
      <c r="I2" s="530"/>
      <c r="J2" s="180"/>
    </row>
    <row r="3" spans="2:10" ht="42.75" customHeight="1">
      <c r="B3" s="200" t="s">
        <v>171</v>
      </c>
      <c r="C3" s="199" t="s">
        <v>177</v>
      </c>
      <c r="D3" s="199" t="s">
        <v>178</v>
      </c>
      <c r="E3" s="201" t="s">
        <v>179</v>
      </c>
      <c r="F3" s="44"/>
      <c r="G3" s="200" t="s">
        <v>177</v>
      </c>
      <c r="H3" s="344" t="s">
        <v>178</v>
      </c>
      <c r="I3" s="346" t="s">
        <v>179</v>
      </c>
      <c r="J3" s="14"/>
    </row>
    <row r="4" spans="2:10" ht="13.5" customHeight="1">
      <c r="B4" s="210" t="s">
        <v>172</v>
      </c>
      <c r="C4" s="219" t="e">
        <f>'PMU LR - LP'!E9</f>
        <v>#DIV/0!</v>
      </c>
      <c r="D4" s="275">
        <f>'Áreas da limpeza'!$F$2</f>
        <v>12466.424666666666</v>
      </c>
      <c r="E4" s="203" t="e">
        <f>D4*C4</f>
        <v>#DIV/0!</v>
      </c>
      <c r="F4" s="44"/>
      <c r="G4" s="224" t="e">
        <f>'PMU LR - LP'!E34</f>
        <v>#DIV/0!</v>
      </c>
      <c r="H4" s="275">
        <f>'Áreas da limpeza'!$F$2</f>
        <v>12466.424666666666</v>
      </c>
      <c r="I4" s="321" t="e">
        <f>H4*G4</f>
        <v>#DIV/0!</v>
      </c>
      <c r="J4" s="14"/>
    </row>
    <row r="5" spans="2:10" ht="12.75" customHeight="1">
      <c r="B5" s="211" t="s">
        <v>173</v>
      </c>
      <c r="C5" s="220" t="e">
        <f>'PMU LR - LP'!E17</f>
        <v>#DIV/0!</v>
      </c>
      <c r="D5" s="322">
        <f>'Áreas da limpeza'!$F$9</f>
        <v>3075.8</v>
      </c>
      <c r="E5" s="205" t="e">
        <f>D5*C5</f>
        <v>#DIV/0!</v>
      </c>
      <c r="F5" s="44"/>
      <c r="G5" s="225" t="e">
        <f>'PMU LR - LP'!E42</f>
        <v>#DIV/0!</v>
      </c>
      <c r="H5" s="322">
        <f>'Áreas da limpeza'!$F$9</f>
        <v>3075.8</v>
      </c>
      <c r="I5" s="323" t="e">
        <f>H5*G5</f>
        <v>#DIV/0!</v>
      </c>
      <c r="J5" s="14"/>
    </row>
    <row r="6" spans="2:10" ht="12.75" customHeight="1">
      <c r="B6" s="212" t="s">
        <v>174</v>
      </c>
      <c r="C6" s="221" t="e">
        <f>'PMU LR - LP'!M9</f>
        <v>#DIV/0!</v>
      </c>
      <c r="D6" s="276">
        <f>'Áreas da limpeza'!$F$16</f>
        <v>4184.08</v>
      </c>
      <c r="E6" s="207" t="e">
        <f>D6*C6</f>
        <v>#DIV/0!</v>
      </c>
      <c r="F6" s="44"/>
      <c r="G6" s="226" t="e">
        <f>'PMU LR - LP'!M34</f>
        <v>#DIV/0!</v>
      </c>
      <c r="H6" s="276">
        <f>'Áreas da limpeza'!$F$16</f>
        <v>4184.08</v>
      </c>
      <c r="I6" s="324" t="e">
        <f>H6*G6</f>
        <v>#DIV/0!</v>
      </c>
      <c r="J6" s="14"/>
    </row>
    <row r="7" spans="2:10" ht="12.75" customHeight="1">
      <c r="B7" s="213" t="s">
        <v>175</v>
      </c>
      <c r="C7" s="222" t="e">
        <f>'PMU LR - LP'!M17</f>
        <v>#DIV/0!</v>
      </c>
      <c r="D7" s="277">
        <f>'Áreas da limpeza'!$F$20</f>
        <v>258</v>
      </c>
      <c r="E7" s="208" t="e">
        <f>D7*C7</f>
        <v>#DIV/0!</v>
      </c>
      <c r="F7" s="44"/>
      <c r="G7" s="218" t="e">
        <f>'PMU LR - LP'!M42</f>
        <v>#DIV/0!</v>
      </c>
      <c r="H7" s="277">
        <f>'Áreas da limpeza'!$F$20</f>
        <v>258</v>
      </c>
      <c r="I7" s="325" t="e">
        <f>H7*G7</f>
        <v>#DIV/0!</v>
      </c>
      <c r="J7" s="14"/>
    </row>
    <row r="8" spans="2:10" ht="12.75" customHeight="1">
      <c r="B8" s="214" t="s">
        <v>176</v>
      </c>
      <c r="C8" s="223" t="e">
        <f>'PMU LR - LP'!E25</f>
        <v>#DIV/0!</v>
      </c>
      <c r="D8" s="278">
        <f>'Áreas da limpeza'!$F$22</f>
        <v>0</v>
      </c>
      <c r="E8" s="366" t="e">
        <f>D8*C8</f>
        <v>#DIV/0!</v>
      </c>
      <c r="F8" s="44"/>
      <c r="G8" s="347" t="e">
        <f>'PMU LR - LP'!E50</f>
        <v>#DIV/0!</v>
      </c>
      <c r="H8" s="345">
        <f>'Áreas da limpeza'!$F$22</f>
        <v>0</v>
      </c>
      <c r="I8" s="348" t="e">
        <f>H8*G8</f>
        <v>#DIV/0!</v>
      </c>
      <c r="J8" s="14"/>
    </row>
    <row r="9" spans="2:10" ht="12.75" customHeight="1" hidden="1">
      <c r="B9" s="538" t="s">
        <v>271</v>
      </c>
      <c r="C9" s="539"/>
      <c r="D9" s="539"/>
      <c r="E9" s="352" t="e">
        <f>'Total por postos'!H7</f>
        <v>#DIV/0!</v>
      </c>
      <c r="F9" s="44"/>
      <c r="G9" s="551" t="s">
        <v>271</v>
      </c>
      <c r="H9" s="552"/>
      <c r="I9" s="352" t="e">
        <f>'Total por postos'!H13</f>
        <v>#DIV/0!</v>
      </c>
      <c r="J9" s="14"/>
    </row>
    <row r="10" spans="2:10" ht="12.75" customHeight="1" hidden="1">
      <c r="B10" s="538" t="s">
        <v>268</v>
      </c>
      <c r="C10" s="539"/>
      <c r="D10" s="539"/>
      <c r="E10" s="353" t="e">
        <f>E11-E9</f>
        <v>#DIV/0!</v>
      </c>
      <c r="F10" s="44"/>
      <c r="G10" s="542" t="s">
        <v>268</v>
      </c>
      <c r="H10" s="543"/>
      <c r="I10" s="353" t="e">
        <f>I11-I9</f>
        <v>#DIV/0!</v>
      </c>
      <c r="J10" s="14"/>
    </row>
    <row r="11" spans="2:10" ht="12.75" customHeight="1" thickBot="1">
      <c r="B11" s="536" t="s">
        <v>265</v>
      </c>
      <c r="C11" s="537"/>
      <c r="D11" s="537"/>
      <c r="E11" s="351" t="e">
        <f>SUM(E4:E8)</f>
        <v>#DIV/0!</v>
      </c>
      <c r="F11" s="44"/>
      <c r="G11" s="544" t="s">
        <v>265</v>
      </c>
      <c r="H11" s="545"/>
      <c r="I11" s="351" t="e">
        <f>SUM(I4:I8)</f>
        <v>#DIV/0!</v>
      </c>
      <c r="J11" s="14"/>
    </row>
    <row r="12" spans="2:10" ht="12.75" customHeight="1" thickBot="1">
      <c r="B12" s="536" t="s">
        <v>272</v>
      </c>
      <c r="C12" s="537"/>
      <c r="D12" s="547"/>
      <c r="E12" s="364" t="e">
        <f>E11*12</f>
        <v>#DIV/0!</v>
      </c>
      <c r="F12" s="44"/>
      <c r="G12" s="362"/>
      <c r="H12" s="365" t="s">
        <v>272</v>
      </c>
      <c r="I12" s="364" t="e">
        <f>I11*12</f>
        <v>#DIV/0!</v>
      </c>
      <c r="J12" s="14"/>
    </row>
    <row r="13" spans="5:9" ht="13.5" thickBot="1">
      <c r="E13" s="5"/>
      <c r="I13" s="5"/>
    </row>
    <row r="14" spans="2:10" ht="12.75">
      <c r="B14" s="531" t="s">
        <v>53</v>
      </c>
      <c r="C14" s="532"/>
      <c r="D14" s="532"/>
      <c r="E14" s="533"/>
      <c r="F14" s="44"/>
      <c r="G14" s="546"/>
      <c r="H14" s="546"/>
      <c r="I14" s="546"/>
      <c r="J14" s="180"/>
    </row>
    <row r="15" spans="2:10" ht="42.75" customHeight="1">
      <c r="B15" s="200" t="s">
        <v>171</v>
      </c>
      <c r="C15" s="199" t="s">
        <v>177</v>
      </c>
      <c r="D15" s="199" t="s">
        <v>178</v>
      </c>
      <c r="E15" s="201" t="s">
        <v>179</v>
      </c>
      <c r="F15" s="44"/>
      <c r="G15" s="215"/>
      <c r="H15" s="215"/>
      <c r="I15" s="215"/>
      <c r="J15" s="14"/>
    </row>
    <row r="16" spans="2:10" ht="13.5" customHeight="1">
      <c r="B16" s="210" t="s">
        <v>172</v>
      </c>
      <c r="C16" s="219" t="e">
        <f>'PMU SN'!E9</f>
        <v>#DIV/0!</v>
      </c>
      <c r="D16" s="275">
        <f>'Áreas da limpeza'!$F$2</f>
        <v>12466.424666666666</v>
      </c>
      <c r="E16" s="203" t="e">
        <f>D16*C16</f>
        <v>#DIV/0!</v>
      </c>
      <c r="F16" s="44"/>
      <c r="G16" s="44"/>
      <c r="H16" s="44"/>
      <c r="I16" s="326"/>
      <c r="J16" s="14"/>
    </row>
    <row r="17" spans="2:10" ht="12.75" customHeight="1">
      <c r="B17" s="211" t="s">
        <v>173</v>
      </c>
      <c r="C17" s="220" t="e">
        <f>'PMU SN'!E17</f>
        <v>#DIV/0!</v>
      </c>
      <c r="D17" s="322">
        <f>'Áreas da limpeza'!$F$9</f>
        <v>3075.8</v>
      </c>
      <c r="E17" s="205" t="e">
        <f>D17*C17</f>
        <v>#DIV/0!</v>
      </c>
      <c r="F17" s="44"/>
      <c r="G17" s="44"/>
      <c r="H17" s="44"/>
      <c r="I17" s="326"/>
      <c r="J17" s="14"/>
    </row>
    <row r="18" spans="2:10" ht="12.75" customHeight="1">
      <c r="B18" s="212" t="s">
        <v>174</v>
      </c>
      <c r="C18" s="221" t="e">
        <f>'PMU SN'!M9</f>
        <v>#DIV/0!</v>
      </c>
      <c r="D18" s="276">
        <f>'Áreas da limpeza'!$F$16</f>
        <v>4184.08</v>
      </c>
      <c r="E18" s="207" t="e">
        <f>D18*C18</f>
        <v>#DIV/0!</v>
      </c>
      <c r="F18" s="44"/>
      <c r="G18" s="44"/>
      <c r="H18" s="44"/>
      <c r="I18" s="326"/>
      <c r="J18" s="14"/>
    </row>
    <row r="19" spans="2:10" ht="12.75" customHeight="1">
      <c r="B19" s="213" t="s">
        <v>175</v>
      </c>
      <c r="C19" s="222" t="e">
        <f>'PMU SN'!M17</f>
        <v>#DIV/0!</v>
      </c>
      <c r="D19" s="277">
        <f>'Áreas da limpeza'!$F$20</f>
        <v>258</v>
      </c>
      <c r="E19" s="208" t="e">
        <f>D19*C19</f>
        <v>#DIV/0!</v>
      </c>
      <c r="F19" s="44"/>
      <c r="G19" s="216"/>
      <c r="H19" s="216"/>
      <c r="I19" s="326"/>
      <c r="J19" s="14"/>
    </row>
    <row r="20" spans="2:10" ht="12.75" customHeight="1">
      <c r="B20" s="214" t="s">
        <v>176</v>
      </c>
      <c r="C20" s="223" t="e">
        <f>'PMU SN'!E25</f>
        <v>#DIV/0!</v>
      </c>
      <c r="D20" s="278">
        <f>'Áreas da limpeza'!$F$22</f>
        <v>0</v>
      </c>
      <c r="E20" s="209" t="e">
        <f>D20*C20</f>
        <v>#DIV/0!</v>
      </c>
      <c r="F20" s="44"/>
      <c r="G20" s="216"/>
      <c r="H20" s="216"/>
      <c r="I20" s="326"/>
      <c r="J20" s="14"/>
    </row>
    <row r="21" spans="2:10" ht="12.75" customHeight="1" hidden="1">
      <c r="B21" s="538" t="s">
        <v>267</v>
      </c>
      <c r="C21" s="539"/>
      <c r="D21" s="539"/>
      <c r="E21" s="352" t="e">
        <f>'Total por postos'!H19</f>
        <v>#DIV/0!</v>
      </c>
      <c r="F21" s="44"/>
      <c r="G21" s="549"/>
      <c r="H21" s="549"/>
      <c r="I21" s="217"/>
      <c r="J21" s="14"/>
    </row>
    <row r="22" spans="2:10" ht="12.75" customHeight="1" hidden="1">
      <c r="B22" s="538" t="s">
        <v>268</v>
      </c>
      <c r="C22" s="539"/>
      <c r="D22" s="539"/>
      <c r="E22" s="353" t="e">
        <f>E23-E21</f>
        <v>#DIV/0!</v>
      </c>
      <c r="F22" s="44"/>
      <c r="G22" s="550"/>
      <c r="H22" s="550"/>
      <c r="I22" s="217"/>
      <c r="J22" s="14"/>
    </row>
    <row r="23" spans="2:10" ht="12.75" customHeight="1" thickBot="1">
      <c r="B23" s="540" t="s">
        <v>265</v>
      </c>
      <c r="C23" s="541"/>
      <c r="D23" s="541"/>
      <c r="E23" s="363" t="e">
        <f>SUM(E16:E20)</f>
        <v>#DIV/0!</v>
      </c>
      <c r="F23" s="44"/>
      <c r="G23" s="548"/>
      <c r="H23" s="548"/>
      <c r="I23" s="327"/>
      <c r="J23" s="14"/>
    </row>
    <row r="24" spans="2:10" ht="12.75" customHeight="1" thickBot="1">
      <c r="B24" s="534" t="s">
        <v>272</v>
      </c>
      <c r="C24" s="535"/>
      <c r="D24" s="535"/>
      <c r="E24" s="364" t="e">
        <f>E23*12</f>
        <v>#DIV/0!</v>
      </c>
      <c r="F24" s="44"/>
      <c r="G24" s="361"/>
      <c r="H24" s="361"/>
      <c r="I24" s="327"/>
      <c r="J24" s="14"/>
    </row>
    <row r="25" spans="5:9" ht="12.75">
      <c r="E25" s="5"/>
      <c r="G25" s="44"/>
      <c r="H25" s="44"/>
      <c r="I25" s="44"/>
    </row>
    <row r="26" spans="7:10" ht="12.75">
      <c r="G26" s="44"/>
      <c r="H26" s="44"/>
      <c r="I26" s="349"/>
      <c r="J26" s="44"/>
    </row>
    <row r="27" spans="9:10" ht="12.75">
      <c r="I27" s="350"/>
      <c r="J27" s="44"/>
    </row>
    <row r="28" spans="9:10" ht="12.75">
      <c r="I28" s="349"/>
      <c r="J28" s="44"/>
    </row>
    <row r="29" spans="9:10" ht="12.75">
      <c r="I29" s="349"/>
      <c r="J29" s="44"/>
    </row>
    <row r="30" spans="9:10" ht="12.75">
      <c r="I30" s="349"/>
      <c r="J30" s="44"/>
    </row>
    <row r="31" spans="9:10" ht="12.75">
      <c r="I31" s="349"/>
      <c r="J31" s="44"/>
    </row>
    <row r="35" ht="12.75">
      <c r="E35" s="5"/>
    </row>
  </sheetData>
  <sheetProtection password="D667" sheet="1" objects="1" scenarios="1"/>
  <mergeCells count="19">
    <mergeCell ref="B2:E2"/>
    <mergeCell ref="B1:I1"/>
    <mergeCell ref="B9:D9"/>
    <mergeCell ref="G2:I2"/>
    <mergeCell ref="G9:H9"/>
    <mergeCell ref="G23:H23"/>
    <mergeCell ref="B21:D21"/>
    <mergeCell ref="G21:H21"/>
    <mergeCell ref="B22:D22"/>
    <mergeCell ref="G22:H22"/>
    <mergeCell ref="G10:H10"/>
    <mergeCell ref="G11:H11"/>
    <mergeCell ref="B14:E14"/>
    <mergeCell ref="G14:I14"/>
    <mergeCell ref="B12:D12"/>
    <mergeCell ref="B24:D24"/>
    <mergeCell ref="B11:D11"/>
    <mergeCell ref="B10:D10"/>
    <mergeCell ref="B23:D23"/>
  </mergeCells>
  <printOptions/>
  <pageMargins left="0.75" right="0.75" top="1" bottom="1" header="0.492125985" footer="0.49212598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2:O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4" width="8.7109375" style="0" customWidth="1"/>
    <col min="5" max="6" width="10.8515625" style="0" customWidth="1"/>
    <col min="7" max="7" width="14.421875" style="0" customWidth="1"/>
    <col min="8" max="8" width="4.7109375" style="0" customWidth="1"/>
    <col min="9" max="9" width="4.421875" style="0" customWidth="1"/>
    <col min="10" max="12" width="8.7109375" style="0" customWidth="1"/>
    <col min="13" max="14" width="10.8515625" style="0" customWidth="1"/>
    <col min="15" max="15" width="14.421875" style="0" customWidth="1"/>
  </cols>
  <sheetData>
    <row r="1" ht="13.5" thickBot="1"/>
    <row r="2" spans="1:15" ht="13.5" thickBot="1">
      <c r="A2" s="393" t="s">
        <v>0</v>
      </c>
      <c r="B2" s="391"/>
      <c r="C2" s="391"/>
      <c r="D2" s="391"/>
      <c r="E2" s="391"/>
      <c r="F2" s="391"/>
      <c r="G2" s="385"/>
      <c r="I2" s="393" t="s">
        <v>0</v>
      </c>
      <c r="J2" s="391"/>
      <c r="K2" s="391"/>
      <c r="L2" s="391"/>
      <c r="M2" s="391"/>
      <c r="N2" s="391"/>
      <c r="O2" s="385"/>
    </row>
    <row r="3" spans="1:15" ht="12.75">
      <c r="A3" s="13">
        <v>1</v>
      </c>
      <c r="B3" s="14" t="s">
        <v>1</v>
      </c>
      <c r="C3" s="14"/>
      <c r="D3" s="409" t="s">
        <v>212</v>
      </c>
      <c r="E3" s="409"/>
      <c r="F3" s="409"/>
      <c r="G3" s="410"/>
      <c r="I3" s="13">
        <v>1</v>
      </c>
      <c r="J3" s="14" t="s">
        <v>1</v>
      </c>
      <c r="K3" s="14"/>
      <c r="L3" s="409" t="s">
        <v>20</v>
      </c>
      <c r="M3" s="409"/>
      <c r="N3" s="409"/>
      <c r="O3" s="410"/>
    </row>
    <row r="4" spans="1:15" ht="12.75">
      <c r="A4" s="13">
        <v>2</v>
      </c>
      <c r="B4" s="14" t="s">
        <v>2</v>
      </c>
      <c r="C4" s="14"/>
      <c r="D4" s="14"/>
      <c r="E4" s="14"/>
      <c r="F4" s="15"/>
      <c r="G4" s="16"/>
      <c r="I4" s="13">
        <v>2</v>
      </c>
      <c r="J4" s="14" t="s">
        <v>2</v>
      </c>
      <c r="K4" s="14"/>
      <c r="L4" s="14"/>
      <c r="M4" s="14"/>
      <c r="N4" s="15"/>
      <c r="O4" s="16"/>
    </row>
    <row r="5" spans="1:15" ht="12.75">
      <c r="A5" s="13">
        <v>3</v>
      </c>
      <c r="B5" s="14" t="s">
        <v>3</v>
      </c>
      <c r="C5" s="14"/>
      <c r="D5" s="14"/>
      <c r="E5" s="411" t="s">
        <v>16</v>
      </c>
      <c r="F5" s="411"/>
      <c r="G5" s="392"/>
      <c r="I5" s="13">
        <v>3</v>
      </c>
      <c r="J5" s="14" t="s">
        <v>3</v>
      </c>
      <c r="K5" s="14"/>
      <c r="L5" s="14"/>
      <c r="M5" s="409" t="s">
        <v>19</v>
      </c>
      <c r="N5" s="409"/>
      <c r="O5" s="410"/>
    </row>
    <row r="6" spans="1:15" ht="12.75">
      <c r="A6" s="13">
        <v>4</v>
      </c>
      <c r="B6" s="14" t="s">
        <v>4</v>
      </c>
      <c r="C6" s="14"/>
      <c r="D6" s="14"/>
      <c r="E6" s="17">
        <v>42370</v>
      </c>
      <c r="F6" s="14"/>
      <c r="G6" s="18"/>
      <c r="I6" s="13">
        <v>4</v>
      </c>
      <c r="J6" s="14" t="s">
        <v>4</v>
      </c>
      <c r="K6" s="14"/>
      <c r="L6" s="14"/>
      <c r="M6" s="17">
        <v>42370</v>
      </c>
      <c r="N6" s="14"/>
      <c r="O6" s="18"/>
    </row>
    <row r="7" spans="1:15" ht="13.5" thickBot="1">
      <c r="A7" s="19">
        <v>5</v>
      </c>
      <c r="B7" s="408" t="s">
        <v>72</v>
      </c>
      <c r="C7" s="408"/>
      <c r="D7" s="408"/>
      <c r="E7" s="408"/>
      <c r="F7" s="279">
        <f>'Áreas da limpeza'!J24</f>
        <v>2</v>
      </c>
      <c r="G7" s="20"/>
      <c r="I7" s="19">
        <v>5</v>
      </c>
      <c r="J7" s="408" t="s">
        <v>72</v>
      </c>
      <c r="K7" s="408"/>
      <c r="L7" s="408"/>
      <c r="M7" s="408"/>
      <c r="N7" s="279">
        <f>'Áreas da limpeza'!H24</f>
        <v>25</v>
      </c>
      <c r="O7" s="20"/>
    </row>
  </sheetData>
  <sheetProtection password="D667" sheet="1" objects="1" scenarios="1"/>
  <mergeCells count="8">
    <mergeCell ref="A2:G2"/>
    <mergeCell ref="D3:G3"/>
    <mergeCell ref="I2:O2"/>
    <mergeCell ref="L3:O3"/>
    <mergeCell ref="B7:E7"/>
    <mergeCell ref="J7:M7"/>
    <mergeCell ref="M5:O5"/>
    <mergeCell ref="E5:G5"/>
  </mergeCells>
  <printOptions/>
  <pageMargins left="0.75" right="0.75" top="1" bottom="1" header="0.492125985" footer="0.492125985"/>
  <pageSetup fitToHeight="1" fitToWidth="1" horizontalDpi="300" verticalDpi="3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9.140625" style="305" customWidth="1"/>
    <col min="2" max="2" width="54.57421875" style="305" customWidth="1"/>
    <col min="3" max="3" width="6.140625" style="305" bestFit="1" customWidth="1"/>
    <col min="4" max="4" width="5.7109375" style="305" bestFit="1" customWidth="1"/>
    <col min="5" max="5" width="12.8515625" style="305" customWidth="1"/>
    <col min="6" max="6" width="16.57421875" style="305" bestFit="1" customWidth="1"/>
    <col min="7" max="9" width="9.140625" style="305" customWidth="1"/>
    <col min="10" max="10" width="12.8515625" style="305" bestFit="1" customWidth="1"/>
    <col min="11" max="16384" width="9.140625" style="305" customWidth="1"/>
  </cols>
  <sheetData>
    <row r="1" spans="1:6" ht="12.75">
      <c r="A1" s="559" t="s">
        <v>238</v>
      </c>
      <c r="B1" s="559"/>
      <c r="C1" s="559"/>
      <c r="D1" s="559"/>
      <c r="E1" s="559"/>
      <c r="F1" s="559"/>
    </row>
    <row r="2" spans="1:6" ht="12.75">
      <c r="A2" s="313" t="s">
        <v>213</v>
      </c>
      <c r="B2" s="313" t="s">
        <v>214</v>
      </c>
      <c r="C2" s="313" t="s">
        <v>215</v>
      </c>
      <c r="D2" s="313" t="s">
        <v>216</v>
      </c>
      <c r="E2" s="313" t="s">
        <v>217</v>
      </c>
      <c r="F2" s="313" t="s">
        <v>218</v>
      </c>
    </row>
    <row r="3" spans="1:6" ht="53.25" customHeight="1">
      <c r="A3" s="306">
        <v>1</v>
      </c>
      <c r="B3" s="331" t="s">
        <v>253</v>
      </c>
      <c r="C3" s="306" t="s">
        <v>219</v>
      </c>
      <c r="D3" s="306">
        <v>2</v>
      </c>
      <c r="E3" s="312"/>
      <c r="F3" s="307">
        <f aca="true" t="shared" si="0" ref="F3:F14">D3*E3</f>
        <v>0</v>
      </c>
    </row>
    <row r="4" spans="1:6" ht="25.5">
      <c r="A4" s="306">
        <v>2</v>
      </c>
      <c r="B4" s="314" t="s">
        <v>269</v>
      </c>
      <c r="C4" s="306" t="s">
        <v>254</v>
      </c>
      <c r="D4" s="306">
        <v>60</v>
      </c>
      <c r="E4" s="312"/>
      <c r="F4" s="307">
        <f t="shared" si="0"/>
        <v>0</v>
      </c>
    </row>
    <row r="5" spans="1:6" ht="38.25">
      <c r="A5" s="306">
        <v>3</v>
      </c>
      <c r="B5" s="314" t="s">
        <v>255</v>
      </c>
      <c r="C5" s="306" t="s">
        <v>219</v>
      </c>
      <c r="D5" s="306">
        <v>2</v>
      </c>
      <c r="E5" s="312"/>
      <c r="F5" s="307">
        <f t="shared" si="0"/>
        <v>0</v>
      </c>
    </row>
    <row r="6" spans="1:6" ht="76.5">
      <c r="A6" s="306">
        <f aca="true" t="shared" si="1" ref="A6:A14">A5+1</f>
        <v>4</v>
      </c>
      <c r="B6" s="314" t="s">
        <v>266</v>
      </c>
      <c r="C6" s="306" t="s">
        <v>219</v>
      </c>
      <c r="D6" s="306">
        <v>2</v>
      </c>
      <c r="E6" s="312"/>
      <c r="F6" s="307">
        <f t="shared" si="0"/>
        <v>0</v>
      </c>
    </row>
    <row r="7" spans="1:6" ht="12.75">
      <c r="A7" s="306">
        <f t="shared" si="1"/>
        <v>5</v>
      </c>
      <c r="B7" s="308" t="s">
        <v>240</v>
      </c>
      <c r="C7" s="306" t="s">
        <v>257</v>
      </c>
      <c r="D7" s="306">
        <v>10</v>
      </c>
      <c r="E7" s="312"/>
      <c r="F7" s="307">
        <f t="shared" si="0"/>
        <v>0</v>
      </c>
    </row>
    <row r="8" spans="1:6" ht="38.25">
      <c r="A8" s="306">
        <f t="shared" si="1"/>
        <v>6</v>
      </c>
      <c r="B8" s="314" t="s">
        <v>256</v>
      </c>
      <c r="C8" s="306" t="s">
        <v>257</v>
      </c>
      <c r="D8" s="306">
        <v>4</v>
      </c>
      <c r="E8" s="312"/>
      <c r="F8" s="307">
        <f t="shared" si="0"/>
        <v>0</v>
      </c>
    </row>
    <row r="9" spans="1:6" ht="25.5">
      <c r="A9" s="306">
        <f t="shared" si="1"/>
        <v>7</v>
      </c>
      <c r="B9" s="314" t="s">
        <v>239</v>
      </c>
      <c r="C9" s="306" t="s">
        <v>257</v>
      </c>
      <c r="D9" s="306">
        <v>5</v>
      </c>
      <c r="E9" s="312"/>
      <c r="F9" s="307">
        <f t="shared" si="0"/>
        <v>0</v>
      </c>
    </row>
    <row r="10" spans="1:6" ht="38.25">
      <c r="A10" s="306">
        <f t="shared" si="1"/>
        <v>8</v>
      </c>
      <c r="B10" s="314" t="s">
        <v>270</v>
      </c>
      <c r="C10" s="306" t="s">
        <v>257</v>
      </c>
      <c r="D10" s="306">
        <v>5</v>
      </c>
      <c r="E10" s="312"/>
      <c r="F10" s="307">
        <f t="shared" si="0"/>
        <v>0</v>
      </c>
    </row>
    <row r="11" spans="1:6" ht="12.75">
      <c r="A11" s="306">
        <f t="shared" si="1"/>
        <v>9</v>
      </c>
      <c r="B11" s="303"/>
      <c r="C11" s="304"/>
      <c r="D11" s="304"/>
      <c r="E11" s="312"/>
      <c r="F11" s="307">
        <f t="shared" si="0"/>
        <v>0</v>
      </c>
    </row>
    <row r="12" spans="1:6" ht="12.75">
      <c r="A12" s="306">
        <f t="shared" si="1"/>
        <v>10</v>
      </c>
      <c r="B12" s="303"/>
      <c r="C12" s="304"/>
      <c r="D12" s="304"/>
      <c r="E12" s="312"/>
      <c r="F12" s="307">
        <f t="shared" si="0"/>
        <v>0</v>
      </c>
    </row>
    <row r="13" spans="1:6" ht="12.75">
      <c r="A13" s="306">
        <f t="shared" si="1"/>
        <v>11</v>
      </c>
      <c r="B13" s="303"/>
      <c r="C13" s="304"/>
      <c r="D13" s="304"/>
      <c r="E13" s="312"/>
      <c r="F13" s="307">
        <f t="shared" si="0"/>
        <v>0</v>
      </c>
    </row>
    <row r="14" spans="1:6" ht="12.75">
      <c r="A14" s="306">
        <f t="shared" si="1"/>
        <v>12</v>
      </c>
      <c r="B14" s="303"/>
      <c r="C14" s="304"/>
      <c r="D14" s="304"/>
      <c r="E14" s="312"/>
      <c r="F14" s="307">
        <f t="shared" si="0"/>
        <v>0</v>
      </c>
    </row>
    <row r="15" spans="1:10" ht="12.75">
      <c r="A15" s="553"/>
      <c r="B15" s="554"/>
      <c r="C15" s="554"/>
      <c r="D15" s="554"/>
      <c r="E15" s="554"/>
      <c r="F15" s="555"/>
      <c r="J15" s="309"/>
    </row>
    <row r="16" spans="1:6" ht="12.75">
      <c r="A16" s="556" t="s">
        <v>220</v>
      </c>
      <c r="B16" s="557"/>
      <c r="C16" s="557"/>
      <c r="D16" s="557"/>
      <c r="E16" s="558"/>
      <c r="F16" s="310">
        <f>SUM(F3:F14)</f>
        <v>0</v>
      </c>
    </row>
    <row r="17" spans="1:6" ht="12.75">
      <c r="A17" s="311"/>
      <c r="B17" s="311"/>
      <c r="C17" s="311"/>
      <c r="D17" s="311"/>
      <c r="E17" s="311"/>
      <c r="F17" s="311"/>
    </row>
    <row r="18" spans="1:6" ht="12.75">
      <c r="A18" s="559" t="s">
        <v>221</v>
      </c>
      <c r="B18" s="559"/>
      <c r="C18" s="559"/>
      <c r="D18" s="559"/>
      <c r="E18" s="559"/>
      <c r="F18" s="559"/>
    </row>
    <row r="19" spans="1:6" ht="12.75">
      <c r="A19" s="313" t="s">
        <v>213</v>
      </c>
      <c r="B19" s="313" t="s">
        <v>214</v>
      </c>
      <c r="C19" s="313" t="s">
        <v>215</v>
      </c>
      <c r="D19" s="313" t="s">
        <v>216</v>
      </c>
      <c r="E19" s="313" t="s">
        <v>217</v>
      </c>
      <c r="F19" s="313" t="s">
        <v>218</v>
      </c>
    </row>
    <row r="20" spans="1:6" ht="12.75">
      <c r="A20" s="306">
        <v>1</v>
      </c>
      <c r="B20" s="303"/>
      <c r="C20" s="304"/>
      <c r="D20" s="304"/>
      <c r="E20" s="312"/>
      <c r="F20" s="307">
        <f aca="true" t="shared" si="2" ref="F20:F29">D20*E20</f>
        <v>0</v>
      </c>
    </row>
    <row r="21" spans="1:6" ht="12.75">
      <c r="A21" s="306">
        <f>A20+1</f>
        <v>2</v>
      </c>
      <c r="B21" s="303"/>
      <c r="C21" s="304"/>
      <c r="D21" s="304"/>
      <c r="E21" s="312"/>
      <c r="F21" s="307">
        <f t="shared" si="2"/>
        <v>0</v>
      </c>
    </row>
    <row r="22" spans="1:6" ht="12.75">
      <c r="A22" s="306">
        <f aca="true" t="shared" si="3" ref="A22:A29">A21+1</f>
        <v>3</v>
      </c>
      <c r="B22" s="303"/>
      <c r="C22" s="304"/>
      <c r="D22" s="304"/>
      <c r="E22" s="312"/>
      <c r="F22" s="307">
        <f t="shared" si="2"/>
        <v>0</v>
      </c>
    </row>
    <row r="23" spans="1:6" ht="12.75">
      <c r="A23" s="306">
        <f t="shared" si="3"/>
        <v>4</v>
      </c>
      <c r="B23" s="303"/>
      <c r="C23" s="304"/>
      <c r="D23" s="304"/>
      <c r="E23" s="312"/>
      <c r="F23" s="307">
        <f t="shared" si="2"/>
        <v>0</v>
      </c>
    </row>
    <row r="24" spans="1:6" ht="12.75" customHeight="1">
      <c r="A24" s="306">
        <f t="shared" si="3"/>
        <v>5</v>
      </c>
      <c r="B24" s="303"/>
      <c r="C24" s="304"/>
      <c r="D24" s="304"/>
      <c r="E24" s="312"/>
      <c r="F24" s="307">
        <f t="shared" si="2"/>
        <v>0</v>
      </c>
    </row>
    <row r="25" spans="1:6" ht="12.75">
      <c r="A25" s="306">
        <f t="shared" si="3"/>
        <v>6</v>
      </c>
      <c r="B25" s="303"/>
      <c r="C25" s="304"/>
      <c r="D25" s="304"/>
      <c r="E25" s="312"/>
      <c r="F25" s="307">
        <f t="shared" si="2"/>
        <v>0</v>
      </c>
    </row>
    <row r="26" spans="1:6" ht="12.75">
      <c r="A26" s="306">
        <f t="shared" si="3"/>
        <v>7</v>
      </c>
      <c r="B26" s="303"/>
      <c r="C26" s="304"/>
      <c r="D26" s="304"/>
      <c r="E26" s="312"/>
      <c r="F26" s="307">
        <f t="shared" si="2"/>
        <v>0</v>
      </c>
    </row>
    <row r="27" spans="1:6" ht="12.75">
      <c r="A27" s="306">
        <f t="shared" si="3"/>
        <v>8</v>
      </c>
      <c r="B27" s="303"/>
      <c r="C27" s="304"/>
      <c r="D27" s="304"/>
      <c r="E27" s="312"/>
      <c r="F27" s="307">
        <f t="shared" si="2"/>
        <v>0</v>
      </c>
    </row>
    <row r="28" spans="1:6" ht="12.75">
      <c r="A28" s="306">
        <f t="shared" si="3"/>
        <v>9</v>
      </c>
      <c r="B28" s="303"/>
      <c r="C28" s="304"/>
      <c r="D28" s="304"/>
      <c r="E28" s="312"/>
      <c r="F28" s="307">
        <f t="shared" si="2"/>
        <v>0</v>
      </c>
    </row>
    <row r="29" spans="1:6" ht="12.75">
      <c r="A29" s="306">
        <f t="shared" si="3"/>
        <v>10</v>
      </c>
      <c r="B29" s="303"/>
      <c r="C29" s="304"/>
      <c r="D29" s="304"/>
      <c r="E29" s="312"/>
      <c r="F29" s="307">
        <f t="shared" si="2"/>
        <v>0</v>
      </c>
    </row>
    <row r="30" spans="1:6" ht="12.75">
      <c r="A30" s="553"/>
      <c r="B30" s="554"/>
      <c r="C30" s="554"/>
      <c r="D30" s="554"/>
      <c r="E30" s="554"/>
      <c r="F30" s="555"/>
    </row>
    <row r="31" spans="1:6" ht="12.75">
      <c r="A31" s="556" t="s">
        <v>220</v>
      </c>
      <c r="B31" s="557"/>
      <c r="C31" s="557"/>
      <c r="D31" s="557"/>
      <c r="E31" s="558"/>
      <c r="F31" s="310">
        <f>SUM(F20:F30)</f>
        <v>0</v>
      </c>
    </row>
  </sheetData>
  <sheetProtection password="D667" sheet="1"/>
  <mergeCells count="6">
    <mergeCell ref="A30:F30"/>
    <mergeCell ref="A31:E31"/>
    <mergeCell ref="A1:F1"/>
    <mergeCell ref="A16:E16"/>
    <mergeCell ref="A15:F15"/>
    <mergeCell ref="A18:F18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2:Q1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8" max="8" width="11.28125" style="0" customWidth="1"/>
    <col min="17" max="17" width="12.140625" style="0" customWidth="1"/>
  </cols>
  <sheetData>
    <row r="1" ht="13.5" thickBot="1"/>
    <row r="2" spans="1:17" ht="13.5" thickBot="1">
      <c r="A2" s="386" t="str">
        <f>UPPER('MOB Vinc'!E5)</f>
        <v>ENCARREGADO</v>
      </c>
      <c r="B2" s="387"/>
      <c r="C2" s="387"/>
      <c r="D2" s="387"/>
      <c r="E2" s="387"/>
      <c r="F2" s="387"/>
      <c r="G2" s="387"/>
      <c r="H2" s="388"/>
      <c r="J2" s="386" t="str">
        <f>UPPER('MOB Vinc'!M5)</f>
        <v>SERVENTE DE LIMPEZA</v>
      </c>
      <c r="K2" s="387"/>
      <c r="L2" s="387"/>
      <c r="M2" s="387"/>
      <c r="N2" s="387"/>
      <c r="O2" s="387"/>
      <c r="P2" s="387"/>
      <c r="Q2" s="388"/>
    </row>
    <row r="3" spans="1:17" ht="12.75">
      <c r="A3" s="389" t="s">
        <v>110</v>
      </c>
      <c r="B3" s="389"/>
      <c r="C3" s="389"/>
      <c r="D3" s="389"/>
      <c r="E3" s="389"/>
      <c r="F3" s="389"/>
      <c r="G3" s="389"/>
      <c r="H3" s="389"/>
      <c r="J3" s="389" t="s">
        <v>110</v>
      </c>
      <c r="K3" s="389"/>
      <c r="L3" s="389"/>
      <c r="M3" s="389"/>
      <c r="N3" s="389"/>
      <c r="O3" s="389"/>
      <c r="P3" s="389"/>
      <c r="Q3" s="389"/>
    </row>
    <row r="4" spans="1:17" ht="12.75">
      <c r="A4" s="3" t="s">
        <v>6</v>
      </c>
      <c r="B4" s="3" t="s">
        <v>5</v>
      </c>
      <c r="C4" s="3"/>
      <c r="D4" s="3"/>
      <c r="E4" s="3"/>
      <c r="F4" s="3"/>
      <c r="G4" s="4" t="s">
        <v>9</v>
      </c>
      <c r="H4" s="4" t="s">
        <v>10</v>
      </c>
      <c r="J4" s="3" t="s">
        <v>6</v>
      </c>
      <c r="K4" s="3" t="s">
        <v>5</v>
      </c>
      <c r="L4" s="3"/>
      <c r="M4" s="3"/>
      <c r="N4" s="3"/>
      <c r="O4" s="3"/>
      <c r="P4" s="4" t="s">
        <v>9</v>
      </c>
      <c r="Q4" s="4" t="s">
        <v>10</v>
      </c>
    </row>
    <row r="5" spans="1:17" ht="12.75">
      <c r="A5" t="s">
        <v>7</v>
      </c>
      <c r="B5" s="380" t="s">
        <v>8</v>
      </c>
      <c r="C5" s="380"/>
      <c r="D5" s="380"/>
      <c r="E5" s="380"/>
      <c r="F5" s="380"/>
      <c r="G5" s="1"/>
      <c r="H5" s="12">
        <f>'MOB Vinc'!F4</f>
        <v>0</v>
      </c>
      <c r="J5" t="s">
        <v>7</v>
      </c>
      <c r="K5" s="380" t="s">
        <v>8</v>
      </c>
      <c r="L5" s="380"/>
      <c r="M5" s="380"/>
      <c r="N5" s="380"/>
      <c r="O5" s="380"/>
      <c r="P5" s="1"/>
      <c r="Q5" s="12">
        <f>'MOB Vinc'!N4</f>
        <v>0</v>
      </c>
    </row>
    <row r="6" spans="1:17" ht="12.75">
      <c r="A6" t="s">
        <v>11</v>
      </c>
      <c r="B6" s="380" t="s">
        <v>12</v>
      </c>
      <c r="C6" s="380"/>
      <c r="D6" s="380"/>
      <c r="E6" s="380"/>
      <c r="F6" s="380"/>
      <c r="G6" s="2"/>
      <c r="H6" s="5">
        <f>G6*H$5/100</f>
        <v>0</v>
      </c>
      <c r="J6" t="s">
        <v>11</v>
      </c>
      <c r="K6" s="380" t="s">
        <v>12</v>
      </c>
      <c r="L6" s="380"/>
      <c r="M6" s="380"/>
      <c r="N6" s="380"/>
      <c r="O6" s="380"/>
      <c r="P6" s="2"/>
      <c r="Q6" s="5">
        <f>P6*Q$5/100</f>
        <v>0</v>
      </c>
    </row>
    <row r="7" spans="1:17" ht="12.75">
      <c r="A7" t="s">
        <v>13</v>
      </c>
      <c r="B7" s="380" t="s">
        <v>14</v>
      </c>
      <c r="C7" s="380"/>
      <c r="D7" s="380"/>
      <c r="E7" s="380"/>
      <c r="F7" s="380"/>
      <c r="G7" s="2"/>
      <c r="H7" s="5">
        <f>G7*H$5/100</f>
        <v>0</v>
      </c>
      <c r="J7" t="s">
        <v>13</v>
      </c>
      <c r="K7" s="380" t="s">
        <v>14</v>
      </c>
      <c r="L7" s="380"/>
      <c r="M7" s="380"/>
      <c r="N7" s="380"/>
      <c r="O7" s="380"/>
      <c r="P7" s="2"/>
      <c r="Q7" s="5">
        <f>P7*Q$5/100</f>
        <v>0</v>
      </c>
    </row>
    <row r="8" spans="1:17" ht="12.75">
      <c r="A8" s="6"/>
      <c r="B8" s="379"/>
      <c r="C8" s="379"/>
      <c r="D8" s="379"/>
      <c r="E8" s="379"/>
      <c r="F8" s="379"/>
      <c r="G8" s="2"/>
      <c r="H8" s="5">
        <f>G8*H$5/100</f>
        <v>0</v>
      </c>
      <c r="J8" s="6"/>
      <c r="K8" s="379"/>
      <c r="L8" s="379"/>
      <c r="M8" s="379"/>
      <c r="N8" s="379"/>
      <c r="O8" s="379"/>
      <c r="P8" s="2"/>
      <c r="Q8" s="5">
        <f>P8*Q$5/100</f>
        <v>0</v>
      </c>
    </row>
    <row r="9" spans="1:17" ht="13.5" thickBot="1">
      <c r="A9" s="7"/>
      <c r="B9" s="390"/>
      <c r="C9" s="390"/>
      <c r="D9" s="390"/>
      <c r="E9" s="390"/>
      <c r="F9" s="390"/>
      <c r="G9" s="8"/>
      <c r="H9" s="5">
        <f>G9*H$5/100</f>
        <v>0</v>
      </c>
      <c r="J9" s="7"/>
      <c r="K9" s="390"/>
      <c r="L9" s="390"/>
      <c r="M9" s="390"/>
      <c r="N9" s="390"/>
      <c r="O9" s="390"/>
      <c r="P9" s="8"/>
      <c r="Q9" s="5">
        <f>P9*Q$5/100</f>
        <v>0</v>
      </c>
    </row>
    <row r="10" spans="2:17" ht="12.75">
      <c r="B10" s="9" t="s">
        <v>15</v>
      </c>
      <c r="H10" s="151">
        <f>SUM(H5:H9)</f>
        <v>0</v>
      </c>
      <c r="K10" s="9" t="s">
        <v>17</v>
      </c>
      <c r="Q10" s="151">
        <f>SUM(Q5:Q9)</f>
        <v>0</v>
      </c>
    </row>
    <row r="11" spans="2:17" ht="12.75">
      <c r="B11" s="10" t="s">
        <v>18</v>
      </c>
      <c r="C11" s="3"/>
      <c r="D11" s="3"/>
      <c r="E11" s="3"/>
      <c r="F11" s="3"/>
      <c r="G11" s="3"/>
      <c r="H11" s="11"/>
      <c r="K11" s="10" t="s">
        <v>18</v>
      </c>
      <c r="L11" s="3"/>
      <c r="M11" s="3"/>
      <c r="N11" s="3"/>
      <c r="O11" s="3"/>
      <c r="P11" s="3"/>
      <c r="Q11" s="11"/>
    </row>
  </sheetData>
  <sheetProtection password="D667" sheet="1" objects="1" scenarios="1"/>
  <mergeCells count="14">
    <mergeCell ref="B9:F9"/>
    <mergeCell ref="K8:O8"/>
    <mergeCell ref="K9:O9"/>
    <mergeCell ref="B5:F5"/>
    <mergeCell ref="B6:F6"/>
    <mergeCell ref="B7:F7"/>
    <mergeCell ref="K5:O5"/>
    <mergeCell ref="K6:O6"/>
    <mergeCell ref="K7:O7"/>
    <mergeCell ref="B8:F8"/>
    <mergeCell ref="A2:H2"/>
    <mergeCell ref="J2:Q2"/>
    <mergeCell ref="J3:Q3"/>
    <mergeCell ref="A3:H3"/>
  </mergeCells>
  <printOptions/>
  <pageMargins left="0.75" right="0.75" top="1" bottom="1" header="0.492125985" footer="0.492125985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1:E5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6.28125" style="0" customWidth="1"/>
    <col min="3" max="3" width="70.140625" style="0" customWidth="1"/>
    <col min="4" max="4" width="10.421875" style="0" customWidth="1"/>
    <col min="5" max="5" width="17.140625" style="0" customWidth="1"/>
  </cols>
  <sheetData>
    <row r="1" spans="2:5" ht="13.5" thickBot="1">
      <c r="B1" s="21"/>
      <c r="C1" s="22" t="s">
        <v>111</v>
      </c>
      <c r="D1" s="22" t="s">
        <v>21</v>
      </c>
      <c r="E1" s="22" t="s">
        <v>10</v>
      </c>
    </row>
    <row r="2" spans="2:5" ht="13.5" thickBot="1">
      <c r="B2" s="382" t="str">
        <f>UPPER('MOB Vinc'!E5)</f>
        <v>ENCARREGADO</v>
      </c>
      <c r="C2" s="383"/>
      <c r="D2" s="383"/>
      <c r="E2" s="384"/>
    </row>
    <row r="3" spans="2:5" ht="12.75">
      <c r="B3" s="40" t="s">
        <v>7</v>
      </c>
      <c r="C3" s="368" t="s">
        <v>22</v>
      </c>
      <c r="D3" s="369"/>
      <c r="E3" s="41">
        <f>(D4*D5*D6)-'Mod 1'!H5*0.06</f>
        <v>0</v>
      </c>
    </row>
    <row r="4" spans="2:5" ht="12.75">
      <c r="B4" s="25"/>
      <c r="C4" s="26" t="s">
        <v>23</v>
      </c>
      <c r="D4" s="27"/>
      <c r="E4" s="28"/>
    </row>
    <row r="5" spans="2:5" ht="12.75">
      <c r="B5" s="25"/>
      <c r="C5" s="26" t="s">
        <v>24</v>
      </c>
      <c r="D5" s="29"/>
      <c r="E5" s="28"/>
    </row>
    <row r="6" spans="2:5" ht="12.75">
      <c r="B6" s="13"/>
      <c r="C6" s="26" t="s">
        <v>25</v>
      </c>
      <c r="D6" s="29"/>
      <c r="E6" s="30"/>
    </row>
    <row r="7" spans="2:5" ht="12.75">
      <c r="B7" s="23" t="s">
        <v>11</v>
      </c>
      <c r="C7" s="381" t="s">
        <v>26</v>
      </c>
      <c r="D7" s="381"/>
      <c r="E7" s="24">
        <f>D8*D6*(100-D9)/100</f>
        <v>0</v>
      </c>
    </row>
    <row r="8" spans="2:5" ht="12.75">
      <c r="B8" s="25"/>
      <c r="C8" s="26" t="s">
        <v>27</v>
      </c>
      <c r="D8" s="27"/>
      <c r="E8" s="28"/>
    </row>
    <row r="9" spans="2:5" ht="12.75">
      <c r="B9" s="25"/>
      <c r="C9" s="26" t="s">
        <v>28</v>
      </c>
      <c r="D9" s="29"/>
      <c r="E9" s="28"/>
    </row>
    <row r="10" spans="2:5" ht="12.75">
      <c r="B10" s="23" t="s">
        <v>13</v>
      </c>
      <c r="C10" s="381" t="s">
        <v>222</v>
      </c>
      <c r="D10" s="381"/>
      <c r="E10" s="24">
        <f>D11*(1-D18/100)</f>
        <v>0</v>
      </c>
    </row>
    <row r="11" spans="2:5" ht="12.75">
      <c r="B11" s="25"/>
      <c r="C11" s="26" t="s">
        <v>223</v>
      </c>
      <c r="D11" s="27"/>
      <c r="E11" s="28"/>
    </row>
    <row r="12" spans="2:5" ht="12.75">
      <c r="B12" s="23" t="s">
        <v>31</v>
      </c>
      <c r="C12" s="381" t="s">
        <v>32</v>
      </c>
      <c r="D12" s="381"/>
      <c r="E12" s="24">
        <f>D13*(1-D20/100)</f>
        <v>0</v>
      </c>
    </row>
    <row r="13" spans="2:5" ht="12.75">
      <c r="B13" s="25"/>
      <c r="C13" s="26" t="s">
        <v>224</v>
      </c>
      <c r="D13" s="27"/>
      <c r="E13" s="28"/>
    </row>
    <row r="14" spans="2:5" ht="12.75">
      <c r="B14" s="23" t="s">
        <v>33</v>
      </c>
      <c r="C14" s="370" t="s">
        <v>42</v>
      </c>
      <c r="D14" s="412"/>
      <c r="E14" s="24">
        <f>D15*D16*D17/100/12</f>
        <v>0</v>
      </c>
    </row>
    <row r="15" spans="2:5" ht="12.75">
      <c r="B15" s="25"/>
      <c r="C15" s="26" t="s">
        <v>225</v>
      </c>
      <c r="D15" s="27"/>
      <c r="E15" s="28"/>
    </row>
    <row r="16" spans="2:5" ht="12.75">
      <c r="B16" s="25"/>
      <c r="C16" s="26" t="s">
        <v>226</v>
      </c>
      <c r="D16" s="29">
        <v>0</v>
      </c>
      <c r="E16" s="28"/>
    </row>
    <row r="17" spans="2:5" ht="12.75">
      <c r="B17" s="25"/>
      <c r="C17" s="26" t="s">
        <v>227</v>
      </c>
      <c r="D17" s="29">
        <v>0</v>
      </c>
      <c r="E17" s="28"/>
    </row>
    <row r="18" spans="2:5" ht="12.75">
      <c r="B18" s="23" t="s">
        <v>36</v>
      </c>
      <c r="C18" s="381" t="s">
        <v>34</v>
      </c>
      <c r="D18" s="381"/>
      <c r="E18" s="24">
        <f>D19/12</f>
        <v>0</v>
      </c>
    </row>
    <row r="19" spans="2:5" ht="12.75">
      <c r="B19" s="13"/>
      <c r="C19" s="26" t="s">
        <v>35</v>
      </c>
      <c r="D19" s="27">
        <v>0</v>
      </c>
      <c r="E19" s="30"/>
    </row>
    <row r="20" spans="2:5" ht="12.75">
      <c r="B20" s="23" t="s">
        <v>37</v>
      </c>
      <c r="C20" s="381" t="s">
        <v>38</v>
      </c>
      <c r="D20" s="381"/>
      <c r="E20" s="24">
        <f>D21</f>
        <v>0</v>
      </c>
    </row>
    <row r="21" spans="2:5" ht="12.75">
      <c r="B21" s="13"/>
      <c r="C21" s="26" t="s">
        <v>235</v>
      </c>
      <c r="D21" s="27"/>
      <c r="E21" s="30"/>
    </row>
    <row r="22" spans="2:5" ht="12.75">
      <c r="B22" s="23" t="s">
        <v>39</v>
      </c>
      <c r="C22" s="381" t="s">
        <v>45</v>
      </c>
      <c r="D22" s="381"/>
      <c r="E22" s="24">
        <f>D24/12</f>
        <v>0</v>
      </c>
    </row>
    <row r="23" spans="2:5" ht="12.75">
      <c r="B23" s="25"/>
      <c r="C23" s="39"/>
      <c r="D23" s="37"/>
      <c r="E23" s="28"/>
    </row>
    <row r="24" spans="2:5" ht="12.75">
      <c r="B24" s="25"/>
      <c r="C24" s="26" t="s">
        <v>40</v>
      </c>
      <c r="D24" s="27"/>
      <c r="E24" s="28"/>
    </row>
    <row r="25" spans="2:5" s="35" customFormat="1" ht="13.5" thickBot="1">
      <c r="B25" s="31"/>
      <c r="C25" s="32"/>
      <c r="D25" s="33"/>
      <c r="E25" s="34"/>
    </row>
    <row r="26" spans="2:5" ht="13.5" thickBot="1">
      <c r="B26" s="398" t="s">
        <v>41</v>
      </c>
      <c r="C26" s="399"/>
      <c r="D26" s="400"/>
      <c r="E26" s="36">
        <f>SUM(E3:E22)</f>
        <v>0</v>
      </c>
    </row>
    <row r="27" ht="13.5" thickBot="1"/>
    <row r="28" spans="2:5" ht="12.75">
      <c r="B28" s="376" t="str">
        <f>UPPER('MOB Vinc'!M5)</f>
        <v>SERVENTE DE LIMPEZA</v>
      </c>
      <c r="C28" s="377"/>
      <c r="D28" s="377"/>
      <c r="E28" s="378"/>
    </row>
    <row r="29" spans="2:5" ht="12.75">
      <c r="B29" s="23" t="s">
        <v>7</v>
      </c>
      <c r="C29" s="370" t="s">
        <v>22</v>
      </c>
      <c r="D29" s="412"/>
      <c r="E29" s="24">
        <f>(D30*D31*D32)-'Mod 1'!Q5*0.06</f>
        <v>0</v>
      </c>
    </row>
    <row r="30" spans="2:5" ht="12.75">
      <c r="B30" s="25"/>
      <c r="C30" s="26" t="s">
        <v>23</v>
      </c>
      <c r="D30" s="27"/>
      <c r="E30" s="28"/>
    </row>
    <row r="31" spans="2:5" ht="12.75">
      <c r="B31" s="25"/>
      <c r="C31" s="26" t="s">
        <v>24</v>
      </c>
      <c r="D31" s="29"/>
      <c r="E31" s="28"/>
    </row>
    <row r="32" spans="2:5" ht="12.75">
      <c r="B32" s="13"/>
      <c r="C32" s="26" t="s">
        <v>25</v>
      </c>
      <c r="D32" s="29"/>
      <c r="E32" s="30"/>
    </row>
    <row r="33" spans="2:5" ht="12.75">
      <c r="B33" s="23" t="s">
        <v>11</v>
      </c>
      <c r="C33" s="381" t="s">
        <v>26</v>
      </c>
      <c r="D33" s="381"/>
      <c r="E33" s="24">
        <f>D34*D32*(100-D35)/100</f>
        <v>0</v>
      </c>
    </row>
    <row r="34" spans="2:5" ht="12.75">
      <c r="B34" s="25"/>
      <c r="C34" s="26" t="s">
        <v>27</v>
      </c>
      <c r="D34" s="27"/>
      <c r="E34" s="28"/>
    </row>
    <row r="35" spans="2:5" ht="12.75">
      <c r="B35" s="25"/>
      <c r="C35" s="26" t="s">
        <v>28</v>
      </c>
      <c r="D35" s="29"/>
      <c r="E35" s="28"/>
    </row>
    <row r="36" spans="2:5" ht="12.75">
      <c r="B36" s="23" t="s">
        <v>13</v>
      </c>
      <c r="C36" s="381" t="s">
        <v>222</v>
      </c>
      <c r="D36" s="381"/>
      <c r="E36" s="24">
        <f>D37*(1-D44/100)</f>
        <v>0</v>
      </c>
    </row>
    <row r="37" spans="2:5" ht="12.75">
      <c r="B37" s="25"/>
      <c r="C37" s="26" t="s">
        <v>223</v>
      </c>
      <c r="D37" s="27"/>
      <c r="E37" s="28"/>
    </row>
    <row r="38" spans="2:5" ht="12.75">
      <c r="B38" s="23" t="s">
        <v>31</v>
      </c>
      <c r="C38" s="381" t="s">
        <v>32</v>
      </c>
      <c r="D38" s="381"/>
      <c r="E38" s="24">
        <f>D39*(1-D46/100)</f>
        <v>0</v>
      </c>
    </row>
    <row r="39" spans="2:5" ht="12.75">
      <c r="B39" s="25"/>
      <c r="C39" s="26" t="s">
        <v>224</v>
      </c>
      <c r="D39" s="27"/>
      <c r="E39" s="28"/>
    </row>
    <row r="40" spans="2:5" ht="12.75">
      <c r="B40" s="23" t="s">
        <v>33</v>
      </c>
      <c r="C40" s="370" t="s">
        <v>42</v>
      </c>
      <c r="D40" s="412"/>
      <c r="E40" s="24">
        <f>D41*D42*D43/100/12</f>
        <v>0</v>
      </c>
    </row>
    <row r="41" spans="2:5" ht="12.75">
      <c r="B41" s="25"/>
      <c r="C41" s="26" t="s">
        <v>225</v>
      </c>
      <c r="D41" s="27"/>
      <c r="E41" s="28"/>
    </row>
    <row r="42" spans="2:5" ht="12.75">
      <c r="B42" s="25"/>
      <c r="C42" s="26" t="s">
        <v>226</v>
      </c>
      <c r="D42" s="29"/>
      <c r="E42" s="28"/>
    </row>
    <row r="43" spans="2:5" ht="12.75">
      <c r="B43" s="25"/>
      <c r="C43" s="26" t="s">
        <v>227</v>
      </c>
      <c r="D43" s="29"/>
      <c r="E43" s="28"/>
    </row>
    <row r="44" spans="2:5" ht="12.75">
      <c r="B44" s="23" t="s">
        <v>36</v>
      </c>
      <c r="C44" s="381" t="s">
        <v>34</v>
      </c>
      <c r="D44" s="381"/>
      <c r="E44" s="24">
        <f>D45/12</f>
        <v>0</v>
      </c>
    </row>
    <row r="45" spans="2:5" ht="12.75">
      <c r="B45" s="13"/>
      <c r="C45" s="26" t="s">
        <v>35</v>
      </c>
      <c r="D45" s="27"/>
      <c r="E45" s="30"/>
    </row>
    <row r="46" spans="2:5" ht="12.75">
      <c r="B46" s="23" t="s">
        <v>37</v>
      </c>
      <c r="C46" s="381" t="s">
        <v>38</v>
      </c>
      <c r="D46" s="381"/>
      <c r="E46" s="24">
        <f>D47</f>
        <v>0</v>
      </c>
    </row>
    <row r="47" spans="2:5" ht="12.75">
      <c r="B47" s="13"/>
      <c r="C47" s="26" t="s">
        <v>235</v>
      </c>
      <c r="D47" s="27"/>
      <c r="E47" s="30"/>
    </row>
    <row r="48" spans="2:5" ht="12.75">
      <c r="B48" s="23" t="s">
        <v>39</v>
      </c>
      <c r="C48" s="381" t="s">
        <v>45</v>
      </c>
      <c r="D48" s="381"/>
      <c r="E48" s="24">
        <f>D50/12</f>
        <v>0</v>
      </c>
    </row>
    <row r="49" spans="2:5" ht="12.75">
      <c r="B49" s="25"/>
      <c r="C49" s="39"/>
      <c r="D49" s="37"/>
      <c r="E49" s="28"/>
    </row>
    <row r="50" spans="2:5" ht="12.75">
      <c r="B50" s="25"/>
      <c r="C50" s="26" t="s">
        <v>40</v>
      </c>
      <c r="D50" s="27"/>
      <c r="E50" s="28"/>
    </row>
    <row r="51" spans="2:5" ht="13.5" thickBot="1">
      <c r="B51" s="31"/>
      <c r="C51" s="32"/>
      <c r="D51" s="33"/>
      <c r="E51" s="34"/>
    </row>
    <row r="52" spans="2:5" ht="13.5" thickBot="1">
      <c r="B52" s="398" t="s">
        <v>41</v>
      </c>
      <c r="C52" s="399"/>
      <c r="D52" s="400"/>
      <c r="E52" s="36">
        <f>SUM(E28:E48)</f>
        <v>0</v>
      </c>
    </row>
  </sheetData>
  <sheetProtection password="D667" sheet="1" objects="1" scenarios="1"/>
  <mergeCells count="20">
    <mergeCell ref="C38:D38"/>
    <mergeCell ref="B52:D52"/>
    <mergeCell ref="C14:D14"/>
    <mergeCell ref="C40:D40"/>
    <mergeCell ref="C46:D46"/>
    <mergeCell ref="C22:D22"/>
    <mergeCell ref="C48:D48"/>
    <mergeCell ref="C29:D29"/>
    <mergeCell ref="C33:D33"/>
    <mergeCell ref="C36:D36"/>
    <mergeCell ref="C44:D44"/>
    <mergeCell ref="B2:E2"/>
    <mergeCell ref="B28:E28"/>
    <mergeCell ref="C3:D3"/>
    <mergeCell ref="C7:D7"/>
    <mergeCell ref="C10:D10"/>
    <mergeCell ref="B26:D26"/>
    <mergeCell ref="C18:D18"/>
    <mergeCell ref="C20:D20"/>
    <mergeCell ref="C12:D12"/>
  </mergeCells>
  <printOptions/>
  <pageMargins left="0.75" right="0.75" top="1" bottom="1" header="0.492125985" footer="0.492125985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B1:I34"/>
  <sheetViews>
    <sheetView showGridLines="0" zoomScalePageLayoutView="0" workbookViewId="0" topLeftCell="A1">
      <selection activeCell="E5" sqref="E5"/>
    </sheetView>
  </sheetViews>
  <sheetFormatPr defaultColWidth="9.140625" defaultRowHeight="12.75"/>
  <cols>
    <col min="1" max="1" width="7.00390625" style="0" customWidth="1"/>
    <col min="2" max="2" width="6.28125" style="0" customWidth="1"/>
    <col min="3" max="3" width="22.8515625" style="0" customWidth="1"/>
    <col min="4" max="4" width="60.421875" style="0" customWidth="1"/>
    <col min="5" max="5" width="12.140625" style="0" customWidth="1"/>
    <col min="6" max="6" width="10.28125" style="0" customWidth="1"/>
    <col min="7" max="7" width="16.00390625" style="0" customWidth="1"/>
  </cols>
  <sheetData>
    <row r="1" spans="2:7" ht="13.5" thickBot="1">
      <c r="B1" s="419" t="s">
        <v>112</v>
      </c>
      <c r="C1" s="420"/>
      <c r="D1" s="420"/>
      <c r="E1" s="420"/>
      <c r="F1" s="420"/>
      <c r="G1" s="421"/>
    </row>
    <row r="2" spans="2:7" ht="12.75">
      <c r="B2" s="425" t="s">
        <v>99</v>
      </c>
      <c r="C2" s="426"/>
      <c r="D2" s="424"/>
      <c r="E2" s="423" t="s">
        <v>21</v>
      </c>
      <c r="F2" s="424"/>
      <c r="G2" s="146" t="s">
        <v>10</v>
      </c>
    </row>
    <row r="3" spans="2:7" ht="28.5" customHeight="1">
      <c r="B3" s="85" t="s">
        <v>7</v>
      </c>
      <c r="C3" s="427" t="s">
        <v>50</v>
      </c>
      <c r="D3" s="428"/>
      <c r="E3" s="289" t="s">
        <v>230</v>
      </c>
      <c r="F3" s="290" t="s">
        <v>231</v>
      </c>
      <c r="G3" s="141"/>
    </row>
    <row r="4" spans="2:9" ht="13.5" customHeight="1">
      <c r="B4" s="333"/>
      <c r="C4" s="415" t="str">
        <f>UPPER('MOB Vinc'!E5)</f>
        <v>ENCARREGADO</v>
      </c>
      <c r="D4" s="415"/>
      <c r="E4" s="415"/>
      <c r="F4" s="415"/>
      <c r="G4" s="338">
        <f>G10/12*(1+E10/100)*E11</f>
        <v>0</v>
      </c>
      <c r="H4" s="332"/>
      <c r="I4" s="332"/>
    </row>
    <row r="5" spans="2:7" ht="12.75">
      <c r="B5" s="25"/>
      <c r="C5" s="413" t="s">
        <v>29</v>
      </c>
      <c r="D5" s="413"/>
      <c r="E5" s="176"/>
      <c r="F5" s="291">
        <v>4</v>
      </c>
      <c r="G5" s="292">
        <f>E5*F5</f>
        <v>0</v>
      </c>
    </row>
    <row r="6" spans="2:7" ht="12.75">
      <c r="B6" s="25"/>
      <c r="C6" s="413" t="s">
        <v>232</v>
      </c>
      <c r="D6" s="413"/>
      <c r="E6" s="27"/>
      <c r="F6" s="29">
        <v>2</v>
      </c>
      <c r="G6" s="292">
        <f>E6*F6</f>
        <v>0</v>
      </c>
    </row>
    <row r="7" spans="2:7" ht="12.75">
      <c r="B7" s="25"/>
      <c r="C7" s="413" t="s">
        <v>233</v>
      </c>
      <c r="D7" s="413"/>
      <c r="E7" s="27"/>
      <c r="F7" s="29">
        <v>2</v>
      </c>
      <c r="G7" s="292">
        <f>E7*F7</f>
        <v>0</v>
      </c>
    </row>
    <row r="8" spans="2:7" ht="12.75">
      <c r="B8" s="25"/>
      <c r="C8" s="26"/>
      <c r="D8" s="26" t="s">
        <v>252</v>
      </c>
      <c r="E8" s="27"/>
      <c r="F8" s="29">
        <v>2</v>
      </c>
      <c r="G8" s="292">
        <f>E8*F8</f>
        <v>0</v>
      </c>
    </row>
    <row r="9" spans="2:7" ht="12.75">
      <c r="B9" s="25"/>
      <c r="C9" s="26" t="s">
        <v>234</v>
      </c>
      <c r="D9" s="39"/>
      <c r="E9" s="27"/>
      <c r="F9" s="29">
        <v>1</v>
      </c>
      <c r="G9" s="292">
        <f>E9*F9</f>
        <v>0</v>
      </c>
    </row>
    <row r="10" spans="2:7" ht="12.75">
      <c r="B10" s="25"/>
      <c r="C10" s="413" t="s">
        <v>30</v>
      </c>
      <c r="D10" s="413"/>
      <c r="E10" s="29"/>
      <c r="F10" s="280"/>
      <c r="G10" s="292">
        <f>SUM(G5:G9)</f>
        <v>0</v>
      </c>
    </row>
    <row r="11" spans="2:7" ht="12.75">
      <c r="B11" s="25"/>
      <c r="C11" s="414" t="s">
        <v>146</v>
      </c>
      <c r="D11" s="414"/>
      <c r="E11" s="280">
        <f>('MOB Vinc'!F7)</f>
        <v>2</v>
      </c>
      <c r="F11" s="280"/>
      <c r="G11" s="28"/>
    </row>
    <row r="12" spans="2:7" ht="13.5" thickBot="1">
      <c r="B12" s="25"/>
      <c r="C12" s="339"/>
      <c r="D12" s="339"/>
      <c r="E12" s="280"/>
      <c r="F12" s="280"/>
      <c r="G12" s="28"/>
    </row>
    <row r="13" spans="2:8" ht="12.75">
      <c r="B13" s="340"/>
      <c r="C13" s="416" t="str">
        <f>UPPER('MOB Vinc'!M5)</f>
        <v>SERVENTE DE LIMPEZA</v>
      </c>
      <c r="D13" s="416"/>
      <c r="E13" s="416"/>
      <c r="F13" s="416"/>
      <c r="G13" s="341">
        <f>G19/12*(1+E19/100)*E20</f>
        <v>0</v>
      </c>
      <c r="H13" s="328" t="s">
        <v>258</v>
      </c>
    </row>
    <row r="14" spans="2:7" ht="12.75">
      <c r="B14" s="25"/>
      <c r="C14" s="413" t="s">
        <v>29</v>
      </c>
      <c r="D14" s="413"/>
      <c r="E14" s="176"/>
      <c r="F14" s="291">
        <v>4</v>
      </c>
      <c r="G14" s="292">
        <f>E14*F14</f>
        <v>0</v>
      </c>
    </row>
    <row r="15" spans="2:7" ht="12.75">
      <c r="B15" s="25"/>
      <c r="C15" s="413" t="s">
        <v>232</v>
      </c>
      <c r="D15" s="413"/>
      <c r="E15" s="27"/>
      <c r="F15" s="29">
        <v>2</v>
      </c>
      <c r="G15" s="292">
        <f>E15*F15</f>
        <v>0</v>
      </c>
    </row>
    <row r="16" spans="2:7" ht="12.75">
      <c r="B16" s="25"/>
      <c r="C16" s="413" t="s">
        <v>233</v>
      </c>
      <c r="D16" s="413"/>
      <c r="E16" s="27"/>
      <c r="F16" s="29">
        <v>2</v>
      </c>
      <c r="G16" s="292">
        <f>E16*F16</f>
        <v>0</v>
      </c>
    </row>
    <row r="17" spans="2:7" ht="12.75">
      <c r="B17" s="25"/>
      <c r="C17" s="26"/>
      <c r="D17" s="26" t="s">
        <v>252</v>
      </c>
      <c r="E17" s="27"/>
      <c r="F17" s="29">
        <v>2</v>
      </c>
      <c r="G17" s="292">
        <f>E17*F17</f>
        <v>0</v>
      </c>
    </row>
    <row r="18" spans="2:7" ht="12.75">
      <c r="B18" s="25"/>
      <c r="C18" s="26" t="s">
        <v>234</v>
      </c>
      <c r="D18" s="39"/>
      <c r="E18" s="27"/>
      <c r="F18" s="29">
        <v>1</v>
      </c>
      <c r="G18" s="292">
        <f>E18*F18</f>
        <v>0</v>
      </c>
    </row>
    <row r="19" spans="2:7" ht="12.75">
      <c r="B19" s="25"/>
      <c r="C19" s="413" t="s">
        <v>30</v>
      </c>
      <c r="D19" s="413"/>
      <c r="E19" s="29"/>
      <c r="F19" s="280"/>
      <c r="G19" s="292">
        <f>SUM(G14:G18)</f>
        <v>0</v>
      </c>
    </row>
    <row r="20" spans="2:7" ht="12.75">
      <c r="B20" s="25"/>
      <c r="C20" s="429" t="s">
        <v>146</v>
      </c>
      <c r="D20" s="429"/>
      <c r="E20" s="280">
        <f>('MOB Vinc'!N7)</f>
        <v>25</v>
      </c>
      <c r="F20" s="280"/>
      <c r="G20" s="28"/>
    </row>
    <row r="21" spans="2:8" ht="12.75">
      <c r="B21" s="23" t="s">
        <v>11</v>
      </c>
      <c r="C21" s="381" t="s">
        <v>48</v>
      </c>
      <c r="D21" s="381"/>
      <c r="E21" s="381"/>
      <c r="F21" s="286"/>
      <c r="G21" s="281">
        <f>E22/12</f>
        <v>0</v>
      </c>
      <c r="H21" s="328" t="s">
        <v>259</v>
      </c>
    </row>
    <row r="22" spans="2:7" ht="12.75">
      <c r="B22" s="25"/>
      <c r="C22" s="413" t="s">
        <v>51</v>
      </c>
      <c r="D22" s="413"/>
      <c r="E22" s="27"/>
      <c r="F22" s="280"/>
      <c r="G22" s="28"/>
    </row>
    <row r="23" spans="2:8" ht="12.75">
      <c r="B23" s="23" t="s">
        <v>13</v>
      </c>
      <c r="C23" s="381" t="s">
        <v>228</v>
      </c>
      <c r="D23" s="381"/>
      <c r="E23" s="381"/>
      <c r="F23" s="286"/>
      <c r="G23" s="24">
        <f>E24/12</f>
        <v>0</v>
      </c>
      <c r="H23" s="328" t="s">
        <v>260</v>
      </c>
    </row>
    <row r="24" spans="2:7" ht="12.75">
      <c r="B24" s="25"/>
      <c r="C24" s="413" t="s">
        <v>47</v>
      </c>
      <c r="D24" s="413"/>
      <c r="E24" s="301">
        <f>Equipamentos!F31</f>
        <v>0</v>
      </c>
      <c r="F24" s="302" t="s">
        <v>237</v>
      </c>
      <c r="G24" s="28"/>
    </row>
    <row r="25" spans="2:8" ht="12.75">
      <c r="B25" s="23" t="s">
        <v>31</v>
      </c>
      <c r="C25" s="422" t="s">
        <v>229</v>
      </c>
      <c r="D25" s="422"/>
      <c r="E25" s="422"/>
      <c r="F25" s="287"/>
      <c r="G25" s="24">
        <f>E26*E27/100/12</f>
        <v>0</v>
      </c>
      <c r="H25" s="328" t="s">
        <v>261</v>
      </c>
    </row>
    <row r="26" spans="2:7" ht="12.75">
      <c r="B26" s="25"/>
      <c r="C26" s="413" t="s">
        <v>47</v>
      </c>
      <c r="D26" s="413"/>
      <c r="E26" s="301">
        <f>Equipamentos!F16</f>
        <v>0</v>
      </c>
      <c r="F26" s="302" t="s">
        <v>237</v>
      </c>
      <c r="G26" s="147"/>
    </row>
    <row r="27" spans="2:7" ht="12.75">
      <c r="B27" s="25"/>
      <c r="C27" s="413" t="s">
        <v>49</v>
      </c>
      <c r="D27" s="413"/>
      <c r="E27" s="29"/>
      <c r="F27" s="280"/>
      <c r="G27" s="28"/>
    </row>
    <row r="28" spans="2:8" ht="12.75">
      <c r="B28" s="23" t="s">
        <v>33</v>
      </c>
      <c r="C28" s="381" t="s">
        <v>44</v>
      </c>
      <c r="D28" s="381"/>
      <c r="E28" s="381"/>
      <c r="F28" s="110"/>
      <c r="G28" s="24">
        <f>E30/12</f>
        <v>0</v>
      </c>
      <c r="H28" s="328" t="s">
        <v>262</v>
      </c>
    </row>
    <row r="29" spans="2:7" ht="12.75">
      <c r="B29" s="25"/>
      <c r="C29" s="418"/>
      <c r="D29" s="418"/>
      <c r="E29" s="37"/>
      <c r="F29" s="37"/>
      <c r="G29" s="28"/>
    </row>
    <row r="30" spans="2:7" ht="12.75">
      <c r="B30" s="25"/>
      <c r="C30" s="26" t="s">
        <v>51</v>
      </c>
      <c r="D30" s="26"/>
      <c r="E30" s="27">
        <v>0</v>
      </c>
      <c r="F30" s="280"/>
      <c r="G30" s="28"/>
    </row>
    <row r="31" spans="2:7" s="35" customFormat="1" ht="13.5" thickBot="1">
      <c r="B31" s="334"/>
      <c r="C31" s="335"/>
      <c r="D31" s="335"/>
      <c r="E31" s="336"/>
      <c r="F31" s="336"/>
      <c r="G31" s="337"/>
    </row>
    <row r="32" spans="2:8" ht="13.5" thickBot="1">
      <c r="B32" s="398" t="s">
        <v>41</v>
      </c>
      <c r="C32" s="399"/>
      <c r="D32" s="399"/>
      <c r="E32" s="400"/>
      <c r="F32" s="285"/>
      <c r="G32" s="148">
        <f>G28+G25+G23+G21+G13</f>
        <v>0</v>
      </c>
      <c r="H32" s="328" t="s">
        <v>263</v>
      </c>
    </row>
    <row r="33" spans="2:4" ht="13.5" thickBot="1">
      <c r="B33" s="417"/>
      <c r="C33" s="417"/>
      <c r="D33" s="288"/>
    </row>
    <row r="34" spans="2:7" ht="13.5" thickBot="1">
      <c r="B34" s="398" t="s">
        <v>264</v>
      </c>
      <c r="C34" s="399"/>
      <c r="D34" s="399"/>
      <c r="E34" s="400"/>
      <c r="F34" s="285"/>
      <c r="G34" s="36">
        <f>G32/E20</f>
        <v>0</v>
      </c>
    </row>
  </sheetData>
  <sheetProtection password="D667" sheet="1" objects="1" scenarios="1"/>
  <mergeCells count="28">
    <mergeCell ref="B1:G1"/>
    <mergeCell ref="C25:E25"/>
    <mergeCell ref="E2:F2"/>
    <mergeCell ref="C5:D5"/>
    <mergeCell ref="C6:D6"/>
    <mergeCell ref="B2:D2"/>
    <mergeCell ref="C10:D10"/>
    <mergeCell ref="C7:D7"/>
    <mergeCell ref="C3:D3"/>
    <mergeCell ref="C20:D20"/>
    <mergeCell ref="B34:E34"/>
    <mergeCell ref="B32:E32"/>
    <mergeCell ref="C23:E23"/>
    <mergeCell ref="C21:E21"/>
    <mergeCell ref="C28:E28"/>
    <mergeCell ref="B33:C33"/>
    <mergeCell ref="C27:D27"/>
    <mergeCell ref="C22:D22"/>
    <mergeCell ref="C26:D26"/>
    <mergeCell ref="C29:D29"/>
    <mergeCell ref="C4:F4"/>
    <mergeCell ref="C13:F13"/>
    <mergeCell ref="C14:D14"/>
    <mergeCell ref="C15:D15"/>
    <mergeCell ref="C16:D16"/>
    <mergeCell ref="C19:D19"/>
    <mergeCell ref="C11:D11"/>
    <mergeCell ref="C24:D24"/>
  </mergeCells>
  <printOptions/>
  <pageMargins left="0.75" right="0.75" top="1" bottom="1" header="0.492125985" footer="0.49212598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B1:K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39.140625" style="0" customWidth="1"/>
    <col min="4" max="4" width="6.28125" style="0" customWidth="1"/>
    <col min="5" max="5" width="12.00390625" style="0" customWidth="1"/>
    <col min="6" max="6" width="3.8515625" style="0" customWidth="1"/>
    <col min="7" max="7" width="6.421875" style="0" customWidth="1"/>
    <col min="8" max="8" width="11.7109375" style="0" customWidth="1"/>
  </cols>
  <sheetData>
    <row r="1" spans="2:11" ht="13.5" thickBot="1">
      <c r="B1" s="439" t="s">
        <v>113</v>
      </c>
      <c r="C1" s="439"/>
      <c r="D1" s="439"/>
      <c r="E1" s="439"/>
      <c r="F1" s="439"/>
      <c r="G1" s="439"/>
      <c r="H1" s="439"/>
      <c r="I1" s="42"/>
      <c r="J1" s="42"/>
      <c r="K1" s="42"/>
    </row>
    <row r="2" spans="2:11" ht="12.75">
      <c r="B2" s="382" t="str">
        <f>UPPER('MOB Vinc'!E5)</f>
        <v>ENCARREGADO</v>
      </c>
      <c r="C2" s="416"/>
      <c r="D2" s="416"/>
      <c r="E2" s="416"/>
      <c r="F2" s="416"/>
      <c r="G2" s="416"/>
      <c r="H2" s="432"/>
      <c r="I2" s="42"/>
      <c r="J2" s="42"/>
      <c r="K2" s="42"/>
    </row>
    <row r="3" spans="2:8" ht="12.75">
      <c r="B3" s="433" t="s">
        <v>52</v>
      </c>
      <c r="C3" s="434"/>
      <c r="D3" s="434"/>
      <c r="E3" s="434"/>
      <c r="F3" s="44"/>
      <c r="G3" s="437" t="s">
        <v>53</v>
      </c>
      <c r="H3" s="438"/>
    </row>
    <row r="4" spans="2:8" ht="12.75">
      <c r="B4" s="435" t="s">
        <v>75</v>
      </c>
      <c r="C4" s="436"/>
      <c r="D4" s="47" t="s">
        <v>9</v>
      </c>
      <c r="E4" s="46" t="s">
        <v>10</v>
      </c>
      <c r="F4" s="44"/>
      <c r="G4" s="47" t="s">
        <v>9</v>
      </c>
      <c r="H4" s="46" t="s">
        <v>10</v>
      </c>
    </row>
    <row r="5" spans="2:8" ht="12.75">
      <c r="B5" s="57" t="s">
        <v>7</v>
      </c>
      <c r="C5" s="49" t="s">
        <v>54</v>
      </c>
      <c r="D5" s="50">
        <v>20</v>
      </c>
      <c r="E5" s="51">
        <f>'Mod 1'!$H$10*D5/100</f>
        <v>0</v>
      </c>
      <c r="F5" s="44"/>
      <c r="G5" s="52">
        <f>D5</f>
        <v>20</v>
      </c>
      <c r="H5" s="53">
        <f>'Mod 1'!$H$10*G5/100</f>
        <v>0</v>
      </c>
    </row>
    <row r="6" spans="2:8" ht="12.75">
      <c r="B6" s="57" t="s">
        <v>11</v>
      </c>
      <c r="C6" s="49" t="s">
        <v>55</v>
      </c>
      <c r="D6" s="50">
        <v>1.5</v>
      </c>
      <c r="E6" s="51">
        <f>'Mod 1'!$H$10*D6/100</f>
        <v>0</v>
      </c>
      <c r="F6" s="44"/>
      <c r="G6" s="52">
        <v>0</v>
      </c>
      <c r="H6" s="53">
        <f>'Mod 1'!$H$10*G6/100</f>
        <v>0</v>
      </c>
    </row>
    <row r="7" spans="2:8" ht="12.75">
      <c r="B7" s="57" t="s">
        <v>13</v>
      </c>
      <c r="C7" s="49" t="s">
        <v>56</v>
      </c>
      <c r="D7" s="50">
        <v>1</v>
      </c>
      <c r="E7" s="51">
        <f>'Mod 1'!$H$10*D7/100</f>
        <v>0</v>
      </c>
      <c r="F7" s="44"/>
      <c r="G7" s="52">
        <v>0</v>
      </c>
      <c r="H7" s="53">
        <f>'Mod 1'!$H$10*G7/100</f>
        <v>0</v>
      </c>
    </row>
    <row r="8" spans="2:8" ht="12.75">
      <c r="B8" s="57" t="s">
        <v>31</v>
      </c>
      <c r="C8" s="49" t="s">
        <v>57</v>
      </c>
      <c r="D8" s="50">
        <v>0.2</v>
      </c>
      <c r="E8" s="51">
        <f>'Mod 1'!$H$10*D8/100</f>
        <v>0</v>
      </c>
      <c r="F8" s="44"/>
      <c r="G8" s="52">
        <v>0</v>
      </c>
      <c r="H8" s="53">
        <f>'Mod 1'!$H$10*G8/100</f>
        <v>0</v>
      </c>
    </row>
    <row r="9" spans="2:8" ht="12.75">
      <c r="B9" s="57" t="s">
        <v>33</v>
      </c>
      <c r="C9" s="49" t="s">
        <v>58</v>
      </c>
      <c r="D9" s="50">
        <v>2.5</v>
      </c>
      <c r="E9" s="51">
        <f>'Mod 1'!$H$10*D9/100</f>
        <v>0</v>
      </c>
      <c r="F9" s="44"/>
      <c r="G9" s="52">
        <v>0</v>
      </c>
      <c r="H9" s="53">
        <f>'Mod 1'!$H$10*G9/100</f>
        <v>0</v>
      </c>
    </row>
    <row r="10" spans="2:8" ht="12.75">
      <c r="B10" s="57" t="s">
        <v>36</v>
      </c>
      <c r="C10" s="49" t="s">
        <v>59</v>
      </c>
      <c r="D10" s="50">
        <v>8</v>
      </c>
      <c r="E10" s="51">
        <f>'Mod 1'!$H$10*D10/100</f>
        <v>0</v>
      </c>
      <c r="F10" s="44"/>
      <c r="G10" s="52">
        <f>D10</f>
        <v>8</v>
      </c>
      <c r="H10" s="53">
        <f>'Mod 1'!$H$10*G10/100</f>
        <v>0</v>
      </c>
    </row>
    <row r="11" spans="2:8" ht="12.75">
      <c r="B11" s="57" t="s">
        <v>37</v>
      </c>
      <c r="C11" s="49" t="s">
        <v>60</v>
      </c>
      <c r="D11" s="50">
        <v>3</v>
      </c>
      <c r="E11" s="51">
        <f>'Mod 1'!$H$10*D11/100</f>
        <v>0</v>
      </c>
      <c r="F11" s="44"/>
      <c r="G11" s="52">
        <f>D11</f>
        <v>3</v>
      </c>
      <c r="H11" s="53">
        <f>'Mod 1'!$H$10*G11/100</f>
        <v>0</v>
      </c>
    </row>
    <row r="12" spans="2:8" ht="12.75">
      <c r="B12" s="57" t="s">
        <v>39</v>
      </c>
      <c r="C12" s="49" t="s">
        <v>61</v>
      </c>
      <c r="D12" s="50">
        <v>0.6</v>
      </c>
      <c r="E12" s="51">
        <f>'Mod 1'!$H$10*D12/100</f>
        <v>0</v>
      </c>
      <c r="F12" s="44"/>
      <c r="G12" s="52">
        <v>0</v>
      </c>
      <c r="H12" s="53">
        <f>'Mod 1'!$H$10*G12/100</f>
        <v>0</v>
      </c>
    </row>
    <row r="13" spans="2:8" ht="12.75">
      <c r="B13" s="48"/>
      <c r="C13" s="49"/>
      <c r="D13" s="49"/>
      <c r="E13" s="51">
        <f>'Mod 1'!$H$10*D13/100</f>
        <v>0</v>
      </c>
      <c r="F13" s="44"/>
      <c r="G13" s="54"/>
      <c r="H13" s="53">
        <f>'Mod 1'!$H$10*G13/100</f>
        <v>0</v>
      </c>
    </row>
    <row r="14" spans="2:8" ht="12.75">
      <c r="B14" s="48"/>
      <c r="C14" s="49"/>
      <c r="D14" s="49"/>
      <c r="E14" s="51">
        <f>'Mod 1'!$H$10*D14/100</f>
        <v>0</v>
      </c>
      <c r="F14" s="44"/>
      <c r="G14" s="49"/>
      <c r="H14" s="53">
        <f>'Mod 1'!$H$10*G14/100</f>
        <v>0</v>
      </c>
    </row>
    <row r="15" spans="2:8" ht="13.5" thickBot="1">
      <c r="B15" s="430" t="s">
        <v>62</v>
      </c>
      <c r="C15" s="431"/>
      <c r="D15" s="105">
        <f>SUM(D5:D14)</f>
        <v>36.800000000000004</v>
      </c>
      <c r="E15" s="139">
        <f>SUM(E5:E14)</f>
        <v>0</v>
      </c>
      <c r="F15" s="55"/>
      <c r="G15" s="105">
        <f>SUM(G5:G14)</f>
        <v>31</v>
      </c>
      <c r="H15" s="139">
        <f>SUM(H5:H14)</f>
        <v>0</v>
      </c>
    </row>
    <row r="16" spans="2:8" ht="13.5" thickBot="1">
      <c r="B16" s="43"/>
      <c r="C16" s="43"/>
      <c r="D16" s="43"/>
      <c r="E16" s="43"/>
      <c r="F16" s="43"/>
      <c r="G16" s="56"/>
      <c r="H16" s="56"/>
    </row>
    <row r="17" spans="2:8" ht="12.75">
      <c r="B17" s="382" t="str">
        <f>UPPER('MOB Vinc'!M5)</f>
        <v>SERVENTE DE LIMPEZA</v>
      </c>
      <c r="C17" s="416"/>
      <c r="D17" s="416"/>
      <c r="E17" s="416"/>
      <c r="F17" s="416"/>
      <c r="G17" s="416"/>
      <c r="H17" s="432"/>
    </row>
    <row r="18" spans="2:8" ht="12.75">
      <c r="B18" s="433" t="s">
        <v>52</v>
      </c>
      <c r="C18" s="434"/>
      <c r="D18" s="434"/>
      <c r="E18" s="434"/>
      <c r="F18" s="44"/>
      <c r="G18" s="437" t="s">
        <v>53</v>
      </c>
      <c r="H18" s="438"/>
    </row>
    <row r="19" spans="2:8" ht="12.75">
      <c r="B19" s="435" t="s">
        <v>75</v>
      </c>
      <c r="C19" s="436"/>
      <c r="D19" s="47" t="s">
        <v>9</v>
      </c>
      <c r="E19" s="46" t="s">
        <v>10</v>
      </c>
      <c r="F19" s="44"/>
      <c r="G19" s="47" t="s">
        <v>9</v>
      </c>
      <c r="H19" s="46" t="s">
        <v>10</v>
      </c>
    </row>
    <row r="20" spans="2:8" ht="12.75">
      <c r="B20" s="57" t="s">
        <v>7</v>
      </c>
      <c r="C20" s="49" t="s">
        <v>54</v>
      </c>
      <c r="D20" s="52">
        <f aca="true" t="shared" si="0" ref="D20:D27">D5</f>
        <v>20</v>
      </c>
      <c r="E20" s="51">
        <f>'Mod 1'!$Q$10*D20/100</f>
        <v>0</v>
      </c>
      <c r="F20" s="44"/>
      <c r="G20" s="52">
        <f>D20</f>
        <v>20</v>
      </c>
      <c r="H20" s="53">
        <f>'Mod 1'!$Q$10*G20/100</f>
        <v>0</v>
      </c>
    </row>
    <row r="21" spans="2:8" ht="12.75">
      <c r="B21" s="57" t="s">
        <v>11</v>
      </c>
      <c r="C21" s="49" t="s">
        <v>55</v>
      </c>
      <c r="D21" s="52">
        <f t="shared" si="0"/>
        <v>1.5</v>
      </c>
      <c r="E21" s="51">
        <f>'Mod 1'!$Q$10*D21/100</f>
        <v>0</v>
      </c>
      <c r="F21" s="44"/>
      <c r="G21" s="52">
        <v>0</v>
      </c>
      <c r="H21" s="53">
        <f>'Mod 1'!$Q$10*G21/100</f>
        <v>0</v>
      </c>
    </row>
    <row r="22" spans="2:8" ht="12.75">
      <c r="B22" s="57" t="s">
        <v>13</v>
      </c>
      <c r="C22" s="49" t="s">
        <v>56</v>
      </c>
      <c r="D22" s="52">
        <f t="shared" si="0"/>
        <v>1</v>
      </c>
      <c r="E22" s="51">
        <f>'Mod 1'!$Q$10*D22/100</f>
        <v>0</v>
      </c>
      <c r="F22" s="44"/>
      <c r="G22" s="52">
        <v>0</v>
      </c>
      <c r="H22" s="53">
        <f>'Mod 1'!$Q$10*G22/100</f>
        <v>0</v>
      </c>
    </row>
    <row r="23" spans="2:8" ht="12.75">
      <c r="B23" s="57" t="s">
        <v>31</v>
      </c>
      <c r="C23" s="49" t="s">
        <v>57</v>
      </c>
      <c r="D23" s="52">
        <f t="shared" si="0"/>
        <v>0.2</v>
      </c>
      <c r="E23" s="51">
        <f>'Mod 1'!$Q$10*D23/100</f>
        <v>0</v>
      </c>
      <c r="F23" s="44"/>
      <c r="G23" s="52">
        <v>0</v>
      </c>
      <c r="H23" s="53">
        <f>'Mod 1'!$Q$10*G23/100</f>
        <v>0</v>
      </c>
    </row>
    <row r="24" spans="2:8" ht="12.75">
      <c r="B24" s="57" t="s">
        <v>33</v>
      </c>
      <c r="C24" s="49" t="s">
        <v>58</v>
      </c>
      <c r="D24" s="52">
        <f t="shared" si="0"/>
        <v>2.5</v>
      </c>
      <c r="E24" s="51">
        <f>'Mod 1'!$Q$10*D24/100</f>
        <v>0</v>
      </c>
      <c r="F24" s="44"/>
      <c r="G24" s="52">
        <v>0</v>
      </c>
      <c r="H24" s="53">
        <f>'Mod 1'!$Q$10*G24/100</f>
        <v>0</v>
      </c>
    </row>
    <row r="25" spans="2:8" ht="12.75">
      <c r="B25" s="57" t="s">
        <v>36</v>
      </c>
      <c r="C25" s="49" t="s">
        <v>59</v>
      </c>
      <c r="D25" s="52">
        <f t="shared" si="0"/>
        <v>8</v>
      </c>
      <c r="E25" s="51">
        <f>'Mod 1'!$Q$10*D25/100</f>
        <v>0</v>
      </c>
      <c r="F25" s="44"/>
      <c r="G25" s="52">
        <f>D25</f>
        <v>8</v>
      </c>
      <c r="H25" s="53">
        <f>'Mod 1'!$Q$10*G25/100</f>
        <v>0</v>
      </c>
    </row>
    <row r="26" spans="2:8" ht="12.75">
      <c r="B26" s="57" t="s">
        <v>37</v>
      </c>
      <c r="C26" s="49" t="s">
        <v>60</v>
      </c>
      <c r="D26" s="52">
        <f t="shared" si="0"/>
        <v>3</v>
      </c>
      <c r="E26" s="51">
        <f>'Mod 1'!$Q$10*D26/100</f>
        <v>0</v>
      </c>
      <c r="F26" s="44"/>
      <c r="G26" s="52">
        <f>D26</f>
        <v>3</v>
      </c>
      <c r="H26" s="53">
        <f>'Mod 1'!$Q$10*G26/100</f>
        <v>0</v>
      </c>
    </row>
    <row r="27" spans="2:8" ht="12.75">
      <c r="B27" s="57" t="s">
        <v>39</v>
      </c>
      <c r="C27" s="49" t="s">
        <v>61</v>
      </c>
      <c r="D27" s="52">
        <f t="shared" si="0"/>
        <v>0.6</v>
      </c>
      <c r="E27" s="51">
        <f>'Mod 1'!$Q$10*D27/100</f>
        <v>0</v>
      </c>
      <c r="F27" s="44"/>
      <c r="G27" s="52">
        <v>0</v>
      </c>
      <c r="H27" s="53">
        <f>'Mod 1'!$Q$10*G27/100</f>
        <v>0</v>
      </c>
    </row>
    <row r="28" spans="2:8" ht="12.75">
      <c r="B28" s="48"/>
      <c r="C28" s="49"/>
      <c r="D28" s="49"/>
      <c r="E28" s="51">
        <f>'Mod 1'!$Q$10*D28/100</f>
        <v>0</v>
      </c>
      <c r="F28" s="44"/>
      <c r="G28" s="49"/>
      <c r="H28" s="53">
        <f>'Mod 1'!$Q$10*G28/100</f>
        <v>0</v>
      </c>
    </row>
    <row r="29" spans="2:8" ht="12.75">
      <c r="B29" s="48"/>
      <c r="C29" s="49"/>
      <c r="D29" s="49"/>
      <c r="E29" s="51">
        <f>'Mod 1'!$Q$10*D29/100</f>
        <v>0</v>
      </c>
      <c r="F29" s="44"/>
      <c r="G29" s="49"/>
      <c r="H29" s="53">
        <f>'Mod 1'!$Q$10*G29/100</f>
        <v>0</v>
      </c>
    </row>
    <row r="30" spans="2:8" ht="13.5" thickBot="1">
      <c r="B30" s="430" t="s">
        <v>62</v>
      </c>
      <c r="C30" s="431"/>
      <c r="D30" s="105">
        <f>SUM(D20:D29)</f>
        <v>36.800000000000004</v>
      </c>
      <c r="E30" s="139">
        <f>SUM(E20:E29)</f>
        <v>0</v>
      </c>
      <c r="F30" s="55"/>
      <c r="G30" s="105">
        <f>SUM(G20:G29)</f>
        <v>31</v>
      </c>
      <c r="H30" s="139">
        <f>SUM(H20:H29)</f>
        <v>0</v>
      </c>
    </row>
  </sheetData>
  <sheetProtection password="D667" sheet="1" objects="1" scenarios="1"/>
  <mergeCells count="11">
    <mergeCell ref="B1:H1"/>
    <mergeCell ref="G3:H3"/>
    <mergeCell ref="B2:H2"/>
    <mergeCell ref="B15:C15"/>
    <mergeCell ref="B3:E3"/>
    <mergeCell ref="B4:C4"/>
    <mergeCell ref="B30:C30"/>
    <mergeCell ref="B17:H17"/>
    <mergeCell ref="B18:E18"/>
    <mergeCell ref="B19:C19"/>
    <mergeCell ref="G18:H18"/>
  </mergeCells>
  <printOptions/>
  <pageMargins left="0.75" right="0.75" top="1" bottom="1" header="0.492125985" footer="0.49212598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35.57421875" style="0" customWidth="1"/>
    <col min="4" max="4" width="9.28125" style="0" customWidth="1"/>
    <col min="5" max="5" width="12.140625" style="0" customWidth="1"/>
    <col min="6" max="6" width="4.00390625" style="0" customWidth="1"/>
    <col min="7" max="7" width="9.28125" style="0" customWidth="1"/>
    <col min="8" max="8" width="12.28125" style="0" customWidth="1"/>
  </cols>
  <sheetData>
    <row r="1" spans="2:8" ht="13.5" thickBot="1">
      <c r="B1" s="439" t="s">
        <v>114</v>
      </c>
      <c r="C1" s="439"/>
      <c r="D1" s="439"/>
      <c r="E1" s="439"/>
      <c r="F1" s="439"/>
      <c r="G1" s="439"/>
      <c r="H1" s="439"/>
    </row>
    <row r="2" spans="2:8" ht="12.75">
      <c r="B2" s="382" t="str">
        <f>UPPER('MOB Vinc'!E5)</f>
        <v>ENCARREGADO</v>
      </c>
      <c r="C2" s="416"/>
      <c r="D2" s="416"/>
      <c r="E2" s="416"/>
      <c r="F2" s="416"/>
      <c r="G2" s="416"/>
      <c r="H2" s="432"/>
    </row>
    <row r="3" spans="2:8" ht="12.75">
      <c r="B3" s="433" t="s">
        <v>52</v>
      </c>
      <c r="C3" s="434"/>
      <c r="D3" s="434"/>
      <c r="E3" s="434"/>
      <c r="F3" s="44"/>
      <c r="G3" s="437" t="s">
        <v>53</v>
      </c>
      <c r="H3" s="438"/>
    </row>
    <row r="4" spans="2:8" ht="12.75">
      <c r="B4" s="435" t="s">
        <v>75</v>
      </c>
      <c r="C4" s="440"/>
      <c r="D4" s="60" t="s">
        <v>9</v>
      </c>
      <c r="E4" s="61" t="s">
        <v>10</v>
      </c>
      <c r="F4" s="44"/>
      <c r="G4" s="94" t="s">
        <v>9</v>
      </c>
      <c r="H4" s="93" t="s">
        <v>10</v>
      </c>
    </row>
    <row r="5" spans="2:8" ht="12.75" customHeight="1">
      <c r="B5" s="85" t="s">
        <v>7</v>
      </c>
      <c r="C5" s="77" t="s">
        <v>69</v>
      </c>
      <c r="D5" s="80">
        <f>1/12*100</f>
        <v>8.333333333333332</v>
      </c>
      <c r="E5" s="78">
        <f>'Mod 1'!$H$10*D5/100</f>
        <v>0</v>
      </c>
      <c r="F5" s="44"/>
      <c r="G5" s="74">
        <f>1/12*100</f>
        <v>8.333333333333332</v>
      </c>
      <c r="H5" s="92">
        <f>'Mod 1'!$H$10*G5/100</f>
        <v>0</v>
      </c>
    </row>
    <row r="6" spans="2:8" ht="12.75" customHeight="1">
      <c r="B6" s="23" t="s">
        <v>11</v>
      </c>
      <c r="C6" s="79" t="s">
        <v>145</v>
      </c>
      <c r="D6" s="80">
        <f>((1/3)/12)*100</f>
        <v>2.7777777777777777</v>
      </c>
      <c r="E6" s="81">
        <f>'Mod 1'!$H$10*D6/100</f>
        <v>0</v>
      </c>
      <c r="F6" s="44"/>
      <c r="G6" s="80">
        <f>((1/3)/12)*100</f>
        <v>2.7777777777777777</v>
      </c>
      <c r="H6" s="87">
        <f>'Mod 1'!$H$10*G6/100</f>
        <v>0</v>
      </c>
    </row>
    <row r="7" spans="2:8" ht="12.75" customHeight="1">
      <c r="B7" s="441" t="s">
        <v>70</v>
      </c>
      <c r="C7" s="442"/>
      <c r="D7" s="59">
        <f>D6+D5</f>
        <v>11.11111111111111</v>
      </c>
      <c r="E7" s="84">
        <f>E5+E6</f>
        <v>0</v>
      </c>
      <c r="F7" s="44"/>
      <c r="G7" s="59">
        <f>G6+G5</f>
        <v>11.11111111111111</v>
      </c>
      <c r="H7" s="84">
        <f>H5+H6</f>
        <v>0</v>
      </c>
    </row>
    <row r="8" spans="2:8" ht="34.5" customHeight="1">
      <c r="B8" s="75" t="s">
        <v>13</v>
      </c>
      <c r="C8" s="76" t="s">
        <v>71</v>
      </c>
      <c r="D8" s="82">
        <f>'SMod 4.1'!D15*D7/100</f>
        <v>4.0888888888888895</v>
      </c>
      <c r="E8" s="83">
        <f>'Mod 1'!$H$10*D8/100</f>
        <v>0</v>
      </c>
      <c r="F8" s="44"/>
      <c r="G8" s="82">
        <f>'SMod 4.1'!G15*G7/100</f>
        <v>3.4444444444444446</v>
      </c>
      <c r="H8" s="88">
        <f>'Mod 1'!$H$10*G8/100</f>
        <v>0</v>
      </c>
    </row>
    <row r="9" spans="2:8" ht="12" customHeight="1" thickBot="1">
      <c r="B9" s="64"/>
      <c r="C9" s="65"/>
      <c r="D9" s="65"/>
      <c r="E9" s="66"/>
      <c r="F9" s="44"/>
      <c r="G9" s="91"/>
      <c r="H9" s="73"/>
    </row>
    <row r="10" spans="2:8" ht="12.75" customHeight="1" thickBot="1">
      <c r="B10" s="398" t="s">
        <v>62</v>
      </c>
      <c r="C10" s="399"/>
      <c r="D10" s="138">
        <f>D8+D7</f>
        <v>15.2</v>
      </c>
      <c r="E10" s="152">
        <f>E8+E7</f>
        <v>0</v>
      </c>
      <c r="F10" s="55"/>
      <c r="G10" s="138">
        <f>SUM(G5:G9)</f>
        <v>25.666666666666664</v>
      </c>
      <c r="H10" s="152">
        <f>H8+H7</f>
        <v>0</v>
      </c>
    </row>
    <row r="11" spans="2:8" s="43" customFormat="1" ht="12.75" customHeight="1">
      <c r="B11" s="68"/>
      <c r="C11" s="68"/>
      <c r="D11" s="68"/>
      <c r="E11" s="69"/>
      <c r="F11" s="44"/>
      <c r="G11" s="68"/>
      <c r="H11" s="69"/>
    </row>
    <row r="12" spans="1:8" ht="13.5" thickBot="1">
      <c r="A12" s="14"/>
      <c r="B12" s="70"/>
      <c r="C12" s="71"/>
      <c r="D12" s="72"/>
      <c r="E12" s="72"/>
      <c r="F12" s="44"/>
      <c r="G12" s="72"/>
      <c r="H12" s="72"/>
    </row>
    <row r="13" spans="2:8" ht="12.75">
      <c r="B13" s="382" t="str">
        <f>UPPER('MOB Vinc'!M5)</f>
        <v>SERVENTE DE LIMPEZA</v>
      </c>
      <c r="C13" s="416"/>
      <c r="D13" s="416"/>
      <c r="E13" s="416"/>
      <c r="F13" s="416"/>
      <c r="G13" s="416"/>
      <c r="H13" s="432"/>
    </row>
    <row r="14" spans="2:8" ht="12.75">
      <c r="B14" s="433" t="s">
        <v>52</v>
      </c>
      <c r="C14" s="434"/>
      <c r="D14" s="434"/>
      <c r="E14" s="434"/>
      <c r="F14" s="44"/>
      <c r="G14" s="437" t="s">
        <v>53</v>
      </c>
      <c r="H14" s="438"/>
    </row>
    <row r="15" spans="2:8" ht="12.75">
      <c r="B15" s="435" t="s">
        <v>75</v>
      </c>
      <c r="C15" s="440"/>
      <c r="D15" s="60" t="s">
        <v>9</v>
      </c>
      <c r="E15" s="61" t="s">
        <v>10</v>
      </c>
      <c r="F15" s="44"/>
      <c r="G15" s="94" t="s">
        <v>9</v>
      </c>
      <c r="H15" s="93" t="s">
        <v>10</v>
      </c>
    </row>
    <row r="16" spans="2:8" ht="12.75" customHeight="1">
      <c r="B16" s="85" t="s">
        <v>7</v>
      </c>
      <c r="C16" s="77" t="s">
        <v>69</v>
      </c>
      <c r="D16" s="80">
        <f>1/12*100</f>
        <v>8.333333333333332</v>
      </c>
      <c r="E16" s="78">
        <f>'Mod 1'!$Q$10*D16/100</f>
        <v>0</v>
      </c>
      <c r="F16" s="44"/>
      <c r="G16" s="80">
        <f>1/12*100</f>
        <v>8.333333333333332</v>
      </c>
      <c r="H16" s="86">
        <f>'Mod 1'!$Q$10*G16/100</f>
        <v>0</v>
      </c>
    </row>
    <row r="17" spans="2:8" ht="12.75" customHeight="1">
      <c r="B17" s="23" t="s">
        <v>11</v>
      </c>
      <c r="C17" s="79" t="s">
        <v>145</v>
      </c>
      <c r="D17" s="80">
        <f>((1/3)/12)*100</f>
        <v>2.7777777777777777</v>
      </c>
      <c r="E17" s="78">
        <f>'Mod 1'!$Q$10*D17/100</f>
        <v>0</v>
      </c>
      <c r="F17" s="44"/>
      <c r="G17" s="80">
        <f>((1/3)/12)*100</f>
        <v>2.7777777777777777</v>
      </c>
      <c r="H17" s="86">
        <f>'Mod 1'!$Q$10*G17/100</f>
        <v>0</v>
      </c>
    </row>
    <row r="18" spans="2:8" ht="12.75">
      <c r="B18" s="441" t="s">
        <v>70</v>
      </c>
      <c r="C18" s="442"/>
      <c r="D18" s="59">
        <f>D17+D16</f>
        <v>11.11111111111111</v>
      </c>
      <c r="E18" s="84">
        <f>E16+E17</f>
        <v>0</v>
      </c>
      <c r="F18" s="44"/>
      <c r="G18" s="59">
        <f>G17+G16</f>
        <v>11.11111111111111</v>
      </c>
      <c r="H18" s="84">
        <f>H16+H17</f>
        <v>0</v>
      </c>
    </row>
    <row r="19" spans="2:8" ht="34.5" customHeight="1">
      <c r="B19" s="75" t="s">
        <v>13</v>
      </c>
      <c r="C19" s="76" t="s">
        <v>71</v>
      </c>
      <c r="D19" s="82">
        <f>'SMod 4.1'!D30*D18/100</f>
        <v>4.0888888888888895</v>
      </c>
      <c r="E19" s="78">
        <f>'Mod 1'!$Q$10*D19/100</f>
        <v>0</v>
      </c>
      <c r="F19" s="44"/>
      <c r="G19" s="82">
        <f>'SMod 4.1'!G30*G18/100</f>
        <v>3.4444444444444446</v>
      </c>
      <c r="H19" s="86">
        <f>'Mod 1'!$Q$10*G19/100</f>
        <v>0</v>
      </c>
    </row>
    <row r="20" spans="2:8" ht="13.5" thickBot="1">
      <c r="B20" s="64"/>
      <c r="C20" s="65"/>
      <c r="D20" s="65"/>
      <c r="E20" s="66"/>
      <c r="F20" s="44"/>
      <c r="G20" s="91"/>
      <c r="H20" s="73"/>
    </row>
    <row r="21" spans="2:8" ht="13.5" thickBot="1">
      <c r="B21" s="398" t="s">
        <v>62</v>
      </c>
      <c r="C21" s="399"/>
      <c r="D21" s="138">
        <f>D19+D18</f>
        <v>15.2</v>
      </c>
      <c r="E21" s="152">
        <f>E19+E18</f>
        <v>0</v>
      </c>
      <c r="F21" s="55"/>
      <c r="G21" s="138">
        <f>SUM(G16:G20)</f>
        <v>25.666666666666664</v>
      </c>
      <c r="H21" s="152">
        <f>H19+H18</f>
        <v>0</v>
      </c>
    </row>
  </sheetData>
  <sheetProtection password="D667" sheet="1" objects="1" scenarios="1"/>
  <mergeCells count="13">
    <mergeCell ref="B21:C21"/>
    <mergeCell ref="B4:C4"/>
    <mergeCell ref="B15:C15"/>
    <mergeCell ref="B7:C7"/>
    <mergeCell ref="B18:C18"/>
    <mergeCell ref="B13:H13"/>
    <mergeCell ref="B14:E14"/>
    <mergeCell ref="G14:H14"/>
    <mergeCell ref="B10:C10"/>
    <mergeCell ref="B2:H2"/>
    <mergeCell ref="B3:E3"/>
    <mergeCell ref="G3:H3"/>
    <mergeCell ref="B1:H1"/>
  </mergeCells>
  <printOptions/>
  <pageMargins left="0.75" right="0.75" top="1" bottom="1" header="0.492125985" footer="0.492125985"/>
  <pageSetup fitToHeight="1" fitToWidth="1" horizontalDpi="600" verticalDpi="600" orientation="landscape" paperSize="9" r:id="rId1"/>
  <ignoredErrors>
    <ignoredError sqref="E18 H18 H7 E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K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57.140625" style="0" customWidth="1"/>
    <col min="4" max="5" width="9.28125" style="0" customWidth="1"/>
    <col min="6" max="6" width="12.140625" style="0" customWidth="1"/>
    <col min="7" max="7" width="4.00390625" style="0" customWidth="1"/>
    <col min="8" max="8" width="9.28125" style="0" customWidth="1"/>
    <col min="9" max="9" width="12.28125" style="0" customWidth="1"/>
    <col min="10" max="10" width="3.57421875" style="0" customWidth="1"/>
  </cols>
  <sheetData>
    <row r="1" spans="2:9" ht="13.5" thickBot="1">
      <c r="B1" s="439" t="s">
        <v>115</v>
      </c>
      <c r="C1" s="439"/>
      <c r="D1" s="439"/>
      <c r="E1" s="439"/>
      <c r="F1" s="439"/>
      <c r="G1" s="439"/>
      <c r="H1" s="439"/>
      <c r="I1" s="439"/>
    </row>
    <row r="2" spans="2:9" ht="12.75">
      <c r="B2" s="382" t="str">
        <f>UPPER('MOB Vinc'!E5)</f>
        <v>ENCARREGADO</v>
      </c>
      <c r="C2" s="416"/>
      <c r="D2" s="416"/>
      <c r="E2" s="416"/>
      <c r="F2" s="416"/>
      <c r="G2" s="416"/>
      <c r="H2" s="416"/>
      <c r="I2" s="432"/>
    </row>
    <row r="3" spans="2:9" ht="12.75">
      <c r="B3" s="433" t="s">
        <v>52</v>
      </c>
      <c r="C3" s="434"/>
      <c r="D3" s="434"/>
      <c r="E3" s="434"/>
      <c r="F3" s="434"/>
      <c r="G3" s="44"/>
      <c r="H3" s="445" t="s">
        <v>53</v>
      </c>
      <c r="I3" s="446"/>
    </row>
    <row r="4" spans="2:9" ht="12.75">
      <c r="B4" s="435" t="s">
        <v>75</v>
      </c>
      <c r="C4" s="440"/>
      <c r="D4" s="60" t="s">
        <v>21</v>
      </c>
      <c r="E4" s="109" t="s">
        <v>9</v>
      </c>
      <c r="F4" s="96" t="s">
        <v>10</v>
      </c>
      <c r="G4" s="44"/>
      <c r="H4" s="94" t="s">
        <v>9</v>
      </c>
      <c r="I4" s="93" t="s">
        <v>10</v>
      </c>
    </row>
    <row r="5" spans="2:9" ht="12.75" customHeight="1">
      <c r="B5" s="23" t="s">
        <v>74</v>
      </c>
      <c r="C5" s="443" t="s">
        <v>65</v>
      </c>
      <c r="D5" s="444"/>
      <c r="E5" s="95">
        <f>(1+1/3)/12*D6*D7/12*D8/100</f>
        <v>0</v>
      </c>
      <c r="F5" s="38">
        <f>'Mod 1'!H10*E5/100</f>
        <v>0</v>
      </c>
      <c r="G5" s="44"/>
      <c r="H5" s="80">
        <f>E5</f>
        <v>0</v>
      </c>
      <c r="I5" s="86">
        <f>'Mod 1'!$H$10*H5/100</f>
        <v>0</v>
      </c>
    </row>
    <row r="6" spans="2:9" ht="12.75" customHeight="1">
      <c r="B6" s="13"/>
      <c r="C6" s="26" t="s">
        <v>66</v>
      </c>
      <c r="D6" s="29"/>
      <c r="E6" s="62"/>
      <c r="F6" s="100"/>
      <c r="G6" s="44"/>
      <c r="H6" s="106"/>
      <c r="I6" s="103"/>
    </row>
    <row r="7" spans="2:9" ht="12.75" customHeight="1">
      <c r="B7" s="13"/>
      <c r="C7" s="26" t="s">
        <v>67</v>
      </c>
      <c r="D7" s="330">
        <v>4</v>
      </c>
      <c r="E7" s="62"/>
      <c r="F7" s="101"/>
      <c r="G7" s="44"/>
      <c r="H7" s="107"/>
      <c r="I7" s="104"/>
    </row>
    <row r="8" spans="2:11" ht="12.75" customHeight="1">
      <c r="B8" s="13"/>
      <c r="C8" s="26" t="s">
        <v>68</v>
      </c>
      <c r="D8" s="58"/>
      <c r="E8" s="63"/>
      <c r="F8" s="102"/>
      <c r="G8" s="44"/>
      <c r="H8" s="108"/>
      <c r="I8" s="99"/>
      <c r="K8" s="97"/>
    </row>
    <row r="9" spans="2:11" ht="12.75" customHeight="1">
      <c r="B9" s="75" t="s">
        <v>11</v>
      </c>
      <c r="C9" s="443" t="s">
        <v>76</v>
      </c>
      <c r="D9" s="444"/>
      <c r="E9" s="82">
        <f>'SMod 4.1'!D15*E5/100</f>
        <v>0</v>
      </c>
      <c r="F9" s="83">
        <f>'Mod 1'!H10*E9/100</f>
        <v>0</v>
      </c>
      <c r="G9" s="44"/>
      <c r="H9" s="82">
        <f>'SMod 4.1'!G15*H5/100</f>
        <v>0</v>
      </c>
      <c r="I9" s="86">
        <f>'Mod 1'!$H$10*H9/100</f>
        <v>0</v>
      </c>
      <c r="J9" s="89"/>
      <c r="K9" s="90"/>
    </row>
    <row r="10" spans="2:9" ht="12" customHeight="1" thickBot="1">
      <c r="B10" s="64"/>
      <c r="C10" s="65"/>
      <c r="D10" s="65"/>
      <c r="E10" s="65"/>
      <c r="F10" s="66"/>
      <c r="G10" s="44"/>
      <c r="H10" s="91"/>
      <c r="I10" s="73"/>
    </row>
    <row r="11" spans="2:9" ht="12.75" customHeight="1" thickBot="1">
      <c r="B11" s="398" t="s">
        <v>62</v>
      </c>
      <c r="C11" s="399"/>
      <c r="D11" s="400"/>
      <c r="E11" s="135">
        <f>E9+E5</f>
        <v>0</v>
      </c>
      <c r="F11" s="67">
        <f>F9+F5</f>
        <v>0</v>
      </c>
      <c r="G11" s="55"/>
      <c r="H11" s="138">
        <f>H9+H5</f>
        <v>0</v>
      </c>
      <c r="I11" s="67">
        <f>I5+I9</f>
        <v>0</v>
      </c>
    </row>
    <row r="12" spans="2:9" s="43" customFormat="1" ht="12.75" customHeight="1">
      <c r="B12" s="98">
        <f>IF(D8+'SMod 4.5'!D10&lt;&gt;100,"=&gt;Erro: Soma de homens e mulheres diferente de 100%","")</f>
      </c>
      <c r="C12" s="68"/>
      <c r="D12" s="68"/>
      <c r="E12" s="68"/>
      <c r="F12" s="69"/>
      <c r="G12" s="44"/>
      <c r="H12" s="68"/>
      <c r="I12" s="69"/>
    </row>
    <row r="13" spans="1:9" ht="13.5" thickBot="1">
      <c r="A13" s="14"/>
      <c r="B13" s="70"/>
      <c r="C13" s="71"/>
      <c r="D13" s="72"/>
      <c r="E13" s="72"/>
      <c r="F13" s="72"/>
      <c r="G13" s="44"/>
      <c r="H13" s="72"/>
      <c r="I13" s="72"/>
    </row>
    <row r="14" spans="2:9" ht="12.75">
      <c r="B14" s="382" t="str">
        <f>UPPER('MOB Vinc'!M5)</f>
        <v>SERVENTE DE LIMPEZA</v>
      </c>
      <c r="C14" s="416"/>
      <c r="D14" s="416"/>
      <c r="E14" s="416"/>
      <c r="F14" s="416"/>
      <c r="G14" s="416"/>
      <c r="H14" s="416"/>
      <c r="I14" s="432"/>
    </row>
    <row r="15" spans="2:9" ht="12.75">
      <c r="B15" s="433" t="s">
        <v>52</v>
      </c>
      <c r="C15" s="434"/>
      <c r="D15" s="434"/>
      <c r="E15" s="434"/>
      <c r="F15" s="434"/>
      <c r="G15" s="44"/>
      <c r="H15" s="445" t="s">
        <v>53</v>
      </c>
      <c r="I15" s="446"/>
    </row>
    <row r="16" spans="2:9" ht="12.75">
      <c r="B16" s="435" t="s">
        <v>75</v>
      </c>
      <c r="C16" s="440"/>
      <c r="D16" s="60" t="s">
        <v>21</v>
      </c>
      <c r="E16" s="109" t="s">
        <v>9</v>
      </c>
      <c r="F16" s="96" t="s">
        <v>10</v>
      </c>
      <c r="G16" s="44"/>
      <c r="H16" s="94" t="s">
        <v>9</v>
      </c>
      <c r="I16" s="93" t="s">
        <v>10</v>
      </c>
    </row>
    <row r="17" spans="2:9" ht="12.75" customHeight="1">
      <c r="B17" s="23" t="s">
        <v>74</v>
      </c>
      <c r="C17" s="443" t="s">
        <v>65</v>
      </c>
      <c r="D17" s="444"/>
      <c r="E17" s="95">
        <f>(1+1/3)/12*D18*D19/12*D20/100</f>
        <v>0</v>
      </c>
      <c r="F17" s="38">
        <f>'Mod 1'!$Q$10*E17/100</f>
        <v>0</v>
      </c>
      <c r="G17" s="44"/>
      <c r="H17" s="80">
        <f>E17</f>
        <v>0</v>
      </c>
      <c r="I17" s="86">
        <f>'Mod 1'!Q10*H17/100</f>
        <v>0</v>
      </c>
    </row>
    <row r="18" spans="2:9" ht="12.75" customHeight="1">
      <c r="B18" s="13"/>
      <c r="C18" s="26" t="s">
        <v>66</v>
      </c>
      <c r="D18" s="29"/>
      <c r="E18" s="62"/>
      <c r="F18" s="100"/>
      <c r="G18" s="44"/>
      <c r="H18" s="106"/>
      <c r="I18" s="103"/>
    </row>
    <row r="19" spans="2:9" ht="12.75" customHeight="1">
      <c r="B19" s="13"/>
      <c r="C19" s="26" t="s">
        <v>67</v>
      </c>
      <c r="D19" s="330">
        <v>4</v>
      </c>
      <c r="E19" s="62"/>
      <c r="F19" s="101"/>
      <c r="G19" s="44"/>
      <c r="H19" s="107"/>
      <c r="I19" s="104"/>
    </row>
    <row r="20" spans="2:11" ht="12.75" customHeight="1">
      <c r="B20" s="13"/>
      <c r="C20" s="26" t="s">
        <v>68</v>
      </c>
      <c r="D20" s="58"/>
      <c r="E20" s="63"/>
      <c r="F20" s="102"/>
      <c r="G20" s="44"/>
      <c r="H20" s="108"/>
      <c r="I20" s="99"/>
      <c r="K20" s="97"/>
    </row>
    <row r="21" spans="2:11" ht="12.75" customHeight="1">
      <c r="B21" s="75" t="s">
        <v>11</v>
      </c>
      <c r="C21" s="443" t="s">
        <v>76</v>
      </c>
      <c r="D21" s="444">
        <f>D9</f>
        <v>0</v>
      </c>
      <c r="E21" s="82">
        <f>'SMod 4.1'!D15*E17/100</f>
        <v>0</v>
      </c>
      <c r="F21" s="38">
        <f>'Mod 1'!$Q$10*E21/100</f>
        <v>0</v>
      </c>
      <c r="G21" s="44"/>
      <c r="H21" s="82">
        <f>'SMod 4.1'!G15*H17/100</f>
        <v>0</v>
      </c>
      <c r="I21" s="86">
        <f>'Mod 1'!Q10*H21/100</f>
        <v>0</v>
      </c>
      <c r="J21" s="89"/>
      <c r="K21" s="90"/>
    </row>
    <row r="22" spans="2:9" ht="12" customHeight="1" thickBot="1">
      <c r="B22" s="64"/>
      <c r="C22" s="65"/>
      <c r="D22" s="65"/>
      <c r="E22" s="65"/>
      <c r="F22" s="66"/>
      <c r="G22" s="44"/>
      <c r="H22" s="91"/>
      <c r="I22" s="73"/>
    </row>
    <row r="23" spans="2:9" ht="12.75" customHeight="1" thickBot="1">
      <c r="B23" s="398" t="s">
        <v>62</v>
      </c>
      <c r="C23" s="399"/>
      <c r="D23" s="400"/>
      <c r="E23" s="135">
        <f>E21+E17</f>
        <v>0</v>
      </c>
      <c r="F23" s="67">
        <f>'Mod 1'!$Q$10*E23/100</f>
        <v>0</v>
      </c>
      <c r="G23" s="55"/>
      <c r="H23" s="138">
        <f>H21+H17</f>
        <v>0</v>
      </c>
      <c r="I23" s="67">
        <f>I17+I21</f>
        <v>0</v>
      </c>
    </row>
    <row r="24" spans="2:9" s="43" customFormat="1" ht="12.75" customHeight="1">
      <c r="B24" s="98">
        <f>IF(D20+'SMod 4.5'!D34&lt;&gt;100,"=&gt;Erro: Soma de homens e mulheres diferente de 100%","")</f>
      </c>
      <c r="C24" s="68"/>
      <c r="D24" s="68"/>
      <c r="E24" s="68"/>
      <c r="F24" s="69"/>
      <c r="G24" s="44"/>
      <c r="H24" s="68"/>
      <c r="I24" s="69"/>
    </row>
  </sheetData>
  <sheetProtection password="D667" sheet="1" objects="1" scenarios="1"/>
  <mergeCells count="15">
    <mergeCell ref="B1:I1"/>
    <mergeCell ref="B4:C4"/>
    <mergeCell ref="H3:I3"/>
    <mergeCell ref="B16:C16"/>
    <mergeCell ref="C5:D5"/>
    <mergeCell ref="C9:D9"/>
    <mergeCell ref="H15:I15"/>
    <mergeCell ref="B2:I2"/>
    <mergeCell ref="B3:F3"/>
    <mergeCell ref="B23:D23"/>
    <mergeCell ref="C17:D17"/>
    <mergeCell ref="C21:D21"/>
    <mergeCell ref="B11:D11"/>
    <mergeCell ref="B14:I14"/>
    <mergeCell ref="B15:F15"/>
  </mergeCells>
  <printOptions/>
  <pageMargins left="0.75" right="0.75" top="1" bottom="1" header="0.492125985" footer="0.49212598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K38"/>
  <sheetViews>
    <sheetView showGridLines="0"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86.28125" style="0" customWidth="1"/>
    <col min="4" max="5" width="9.28125" style="0" customWidth="1"/>
    <col min="6" max="6" width="11.00390625" style="0" customWidth="1"/>
    <col min="7" max="7" width="4.00390625" style="0" customWidth="1"/>
    <col min="8" max="8" width="9.28125" style="0" customWidth="1"/>
    <col min="9" max="9" width="12.28125" style="0" customWidth="1"/>
    <col min="10" max="10" width="3.57421875" style="0" customWidth="1"/>
  </cols>
  <sheetData>
    <row r="1" spans="2:9" ht="13.5" thickBot="1">
      <c r="B1" s="439" t="s">
        <v>116</v>
      </c>
      <c r="C1" s="439"/>
      <c r="D1" s="439"/>
      <c r="E1" s="439"/>
      <c r="F1" s="439"/>
      <c r="G1" s="439"/>
      <c r="H1" s="439"/>
      <c r="I1" s="439"/>
    </row>
    <row r="2" spans="2:9" ht="12.75">
      <c r="B2" s="382" t="str">
        <f>UPPER('MOB Vinc'!E5)</f>
        <v>ENCARREGADO</v>
      </c>
      <c r="C2" s="416"/>
      <c r="D2" s="416"/>
      <c r="E2" s="416"/>
      <c r="F2" s="416"/>
      <c r="G2" s="416"/>
      <c r="H2" s="416"/>
      <c r="I2" s="432"/>
    </row>
    <row r="3" spans="2:9" ht="12.75">
      <c r="B3" s="433" t="s">
        <v>52</v>
      </c>
      <c r="C3" s="434"/>
      <c r="D3" s="434"/>
      <c r="E3" s="434"/>
      <c r="F3" s="434"/>
      <c r="G3" s="44"/>
      <c r="H3" s="445" t="s">
        <v>53</v>
      </c>
      <c r="I3" s="446"/>
    </row>
    <row r="4" spans="2:9" ht="12.75">
      <c r="B4" s="435" t="s">
        <v>75</v>
      </c>
      <c r="C4" s="440"/>
      <c r="D4" s="60" t="s">
        <v>21</v>
      </c>
      <c r="E4" s="109" t="s">
        <v>9</v>
      </c>
      <c r="F4" s="96" t="s">
        <v>10</v>
      </c>
      <c r="G4" s="44"/>
      <c r="H4" s="94" t="s">
        <v>9</v>
      </c>
      <c r="I4" s="93" t="s">
        <v>10</v>
      </c>
    </row>
    <row r="5" spans="2:9" ht="12.75" customHeight="1">
      <c r="B5" s="23" t="s">
        <v>74</v>
      </c>
      <c r="C5" s="443" t="s">
        <v>85</v>
      </c>
      <c r="D5" s="444"/>
      <c r="E5" s="95">
        <f>D6/12</f>
        <v>0</v>
      </c>
      <c r="F5" s="38">
        <f>'Mod 1'!H$10*E5/100</f>
        <v>0</v>
      </c>
      <c r="G5" s="44"/>
      <c r="H5" s="80">
        <f>E5</f>
        <v>0</v>
      </c>
      <c r="I5" s="86">
        <f>'Mod 1'!$H$10*H5/100</f>
        <v>0</v>
      </c>
    </row>
    <row r="6" spans="2:9" ht="12.75" customHeight="1">
      <c r="B6" s="13"/>
      <c r="C6" s="113" t="s">
        <v>77</v>
      </c>
      <c r="D6" s="114"/>
      <c r="E6" s="62"/>
      <c r="F6" s="100"/>
      <c r="G6" s="44"/>
      <c r="H6" s="106"/>
      <c r="I6" s="103"/>
    </row>
    <row r="7" spans="2:9" ht="12.75" customHeight="1">
      <c r="B7" s="75" t="s">
        <v>11</v>
      </c>
      <c r="C7" s="443" t="s">
        <v>274</v>
      </c>
      <c r="D7" s="444"/>
      <c r="E7" s="118">
        <f>'SMod 4.1'!$D$10*E5/100</f>
        <v>0</v>
      </c>
      <c r="F7" s="38">
        <f>'Mod 1'!H$10*E7/100</f>
        <v>0</v>
      </c>
      <c r="G7" s="44"/>
      <c r="H7" s="82">
        <f>'SMod 4.1'!$G$15*H5/100</f>
        <v>0</v>
      </c>
      <c r="I7" s="86">
        <f>'Mod 1'!$H$10*H7/100</f>
        <v>0</v>
      </c>
    </row>
    <row r="8" spans="2:11" ht="12.75" customHeight="1">
      <c r="B8" s="126" t="s">
        <v>13</v>
      </c>
      <c r="C8" s="443" t="s">
        <v>78</v>
      </c>
      <c r="D8" s="451"/>
      <c r="E8" s="82">
        <f>E9+E10</f>
        <v>0</v>
      </c>
      <c r="F8" s="117">
        <f>E8/100*'Mod 1'!$H$10</f>
        <v>0</v>
      </c>
      <c r="G8" s="44"/>
      <c r="H8" s="82">
        <f>E8</f>
        <v>0</v>
      </c>
      <c r="I8" s="86">
        <f>'Mod 1'!$H$10*H8/100</f>
        <v>0</v>
      </c>
      <c r="J8" s="89"/>
      <c r="K8" s="90"/>
    </row>
    <row r="9" spans="2:11" ht="12.75" customHeight="1">
      <c r="B9" s="115"/>
      <c r="C9" s="449" t="s">
        <v>79</v>
      </c>
      <c r="D9" s="450"/>
      <c r="E9" s="136">
        <f>0.4*'SMod 4.1'!$D$10*$D$6/100</f>
        <v>0</v>
      </c>
      <c r="F9" s="90"/>
      <c r="G9" s="44"/>
      <c r="H9" s="89"/>
      <c r="I9" s="116"/>
      <c r="J9" s="89"/>
      <c r="K9" s="90"/>
    </row>
    <row r="10" spans="2:11" ht="12.75" customHeight="1">
      <c r="B10" s="115"/>
      <c r="C10" s="447" t="s">
        <v>80</v>
      </c>
      <c r="D10" s="448"/>
      <c r="E10" s="137">
        <f>0.1*'SMod 4.1'!$D$10*$D$6/100</f>
        <v>0</v>
      </c>
      <c r="F10" s="90"/>
      <c r="G10" s="44"/>
      <c r="H10" s="89"/>
      <c r="I10" s="116"/>
      <c r="J10" s="89"/>
      <c r="K10" s="90"/>
    </row>
    <row r="11" spans="2:11" ht="12.75" customHeight="1">
      <c r="B11" s="75" t="s">
        <v>31</v>
      </c>
      <c r="C11" s="443" t="s">
        <v>81</v>
      </c>
      <c r="D11" s="444"/>
      <c r="E11" s="120">
        <f>7/30/12*D12</f>
        <v>1.9444444444444444</v>
      </c>
      <c r="F11" s="117">
        <f>'Mod 1'!H10*E11/100</f>
        <v>0</v>
      </c>
      <c r="G11" s="44"/>
      <c r="H11" s="82">
        <f>E11</f>
        <v>1.9444444444444444</v>
      </c>
      <c r="I11" s="86">
        <f>'Mod 1'!$H$10*H11/100</f>
        <v>0</v>
      </c>
      <c r="J11" s="89"/>
      <c r="K11" s="90"/>
    </row>
    <row r="12" spans="2:11" ht="12.75" customHeight="1">
      <c r="B12" s="115"/>
      <c r="C12" s="113" t="s">
        <v>82</v>
      </c>
      <c r="D12" s="300">
        <f>100-D6</f>
        <v>100</v>
      </c>
      <c r="E12" s="119"/>
      <c r="F12" s="90"/>
      <c r="G12" s="44"/>
      <c r="H12" s="89"/>
      <c r="I12" s="116"/>
      <c r="J12" s="89"/>
      <c r="K12" s="90"/>
    </row>
    <row r="13" spans="2:11" ht="12.75" customHeight="1">
      <c r="B13" s="75" t="s">
        <v>33</v>
      </c>
      <c r="C13" s="443" t="s">
        <v>84</v>
      </c>
      <c r="D13" s="444"/>
      <c r="E13" s="120">
        <f>'SMod 4.1'!$D$15*E11/100</f>
        <v>0.7155555555555556</v>
      </c>
      <c r="F13" s="117">
        <f>E13/100*'Mod 1'!$H$10</f>
        <v>0</v>
      </c>
      <c r="G13" s="44"/>
      <c r="H13" s="82">
        <f>'SMod 4.1'!$G$15*H11/100</f>
        <v>0.6027777777777777</v>
      </c>
      <c r="I13" s="86">
        <f>'Mod 1'!$H$10*H13/100</f>
        <v>0</v>
      </c>
      <c r="J13" s="89"/>
      <c r="K13" s="90"/>
    </row>
    <row r="14" spans="2:9" ht="12.75" customHeight="1">
      <c r="B14" s="75" t="s">
        <v>36</v>
      </c>
      <c r="C14" s="443" t="s">
        <v>83</v>
      </c>
      <c r="D14" s="451"/>
      <c r="E14" s="82">
        <f>E15+E16</f>
        <v>4</v>
      </c>
      <c r="F14" s="83">
        <f>E14/100*'Mod 1'!H10</f>
        <v>0</v>
      </c>
      <c r="G14" s="44"/>
      <c r="H14" s="82">
        <f>E14</f>
        <v>4</v>
      </c>
      <c r="I14" s="86">
        <f>'Mod 1'!$H$10*H14/100</f>
        <v>0</v>
      </c>
    </row>
    <row r="15" spans="2:9" ht="12.75" customHeight="1">
      <c r="B15" s="115"/>
      <c r="C15" s="449" t="s">
        <v>79</v>
      </c>
      <c r="D15" s="450"/>
      <c r="E15" s="136">
        <f>0.4*'SMod 4.1'!$D$10*$D$12/100</f>
        <v>3.2</v>
      </c>
      <c r="F15" s="90"/>
      <c r="G15" s="44"/>
      <c r="H15" s="89"/>
      <c r="I15" s="116"/>
    </row>
    <row r="16" spans="2:9" ht="12.75" customHeight="1">
      <c r="B16" s="115"/>
      <c r="C16" s="447" t="s">
        <v>80</v>
      </c>
      <c r="D16" s="448"/>
      <c r="E16" s="137">
        <f>0.1*'SMod 4.1'!$D$10*$D$12/100</f>
        <v>0.8</v>
      </c>
      <c r="F16" s="90"/>
      <c r="G16" s="44"/>
      <c r="H16" s="89"/>
      <c r="I16" s="116"/>
    </row>
    <row r="17" spans="2:9" ht="12" customHeight="1" thickBot="1">
      <c r="B17" s="64"/>
      <c r="C17" s="65"/>
      <c r="D17" s="65"/>
      <c r="E17" s="65"/>
      <c r="F17" s="66"/>
      <c r="G17" s="44"/>
      <c r="H17" s="91"/>
      <c r="I17" s="73"/>
    </row>
    <row r="18" spans="2:9" ht="12.75" customHeight="1" thickBot="1">
      <c r="B18" s="398" t="s">
        <v>62</v>
      </c>
      <c r="C18" s="399"/>
      <c r="D18" s="400"/>
      <c r="E18" s="135">
        <f>E14+E13+E11+E8+E7+E5</f>
        <v>6.66</v>
      </c>
      <c r="F18" s="67">
        <f>SUM(F5:F17)</f>
        <v>0</v>
      </c>
      <c r="G18" s="55"/>
      <c r="H18" s="138">
        <f>H14+H13+H11+H8+H7+H5</f>
        <v>6.5472222222222225</v>
      </c>
      <c r="I18" s="67">
        <f>SUM(I5:I17)</f>
        <v>0</v>
      </c>
    </row>
    <row r="19" spans="2:9" s="43" customFormat="1" ht="12.75" customHeight="1">
      <c r="B19" s="98"/>
      <c r="C19" s="284"/>
      <c r="D19" s="68"/>
      <c r="E19" s="282"/>
      <c r="F19" s="69"/>
      <c r="G19" s="44"/>
      <c r="H19" s="68"/>
      <c r="I19" s="69"/>
    </row>
    <row r="20" spans="1:9" ht="13.5" thickBot="1">
      <c r="A20" s="14"/>
      <c r="B20" s="70"/>
      <c r="C20" s="71"/>
      <c r="D20" s="72"/>
      <c r="E20" s="72"/>
      <c r="F20" s="72"/>
      <c r="G20" s="44"/>
      <c r="H20" s="72"/>
      <c r="I20" s="72"/>
    </row>
    <row r="21" spans="2:9" ht="12.75">
      <c r="B21" s="382" t="str">
        <f>UPPER('MOB Vinc'!M5)</f>
        <v>SERVENTE DE LIMPEZA</v>
      </c>
      <c r="C21" s="416"/>
      <c r="D21" s="416"/>
      <c r="E21" s="416"/>
      <c r="F21" s="416"/>
      <c r="G21" s="416"/>
      <c r="H21" s="416"/>
      <c r="I21" s="432"/>
    </row>
    <row r="22" spans="2:9" ht="12.75">
      <c r="B22" s="433" t="s">
        <v>52</v>
      </c>
      <c r="C22" s="434"/>
      <c r="D22" s="434"/>
      <c r="E22" s="434"/>
      <c r="F22" s="434"/>
      <c r="G22" s="44"/>
      <c r="H22" s="445" t="s">
        <v>53</v>
      </c>
      <c r="I22" s="446"/>
    </row>
    <row r="23" spans="2:9" ht="12.75">
      <c r="B23" s="435" t="s">
        <v>75</v>
      </c>
      <c r="C23" s="440"/>
      <c r="D23" s="60" t="s">
        <v>21</v>
      </c>
      <c r="E23" s="109" t="s">
        <v>9</v>
      </c>
      <c r="F23" s="96" t="s">
        <v>10</v>
      </c>
      <c r="G23" s="44"/>
      <c r="H23" s="94" t="s">
        <v>9</v>
      </c>
      <c r="I23" s="93" t="s">
        <v>10</v>
      </c>
    </row>
    <row r="24" spans="2:9" ht="12.75" customHeight="1">
      <c r="B24" s="23" t="s">
        <v>74</v>
      </c>
      <c r="C24" s="443" t="s">
        <v>85</v>
      </c>
      <c r="D24" s="444"/>
      <c r="E24" s="95">
        <f>D25/12</f>
        <v>0</v>
      </c>
      <c r="F24" s="38">
        <f>'Mod 1'!$Q$10*E24/100</f>
        <v>0</v>
      </c>
      <c r="G24" s="44"/>
      <c r="H24" s="80">
        <f>E24</f>
        <v>0</v>
      </c>
      <c r="I24" s="24">
        <f>'Mod 1'!$Q$10*H24/100</f>
        <v>0</v>
      </c>
    </row>
    <row r="25" spans="2:9" ht="12.75" customHeight="1">
      <c r="B25" s="13"/>
      <c r="C25" s="113" t="s">
        <v>77</v>
      </c>
      <c r="D25" s="114"/>
      <c r="E25" s="62"/>
      <c r="F25" s="100"/>
      <c r="G25" s="44"/>
      <c r="H25" s="106"/>
      <c r="I25" s="103"/>
    </row>
    <row r="26" spans="2:9" ht="12.75" customHeight="1">
      <c r="B26" s="75" t="s">
        <v>11</v>
      </c>
      <c r="C26" s="443" t="s">
        <v>274</v>
      </c>
      <c r="D26" s="444"/>
      <c r="E26" s="118">
        <f>'SMod 4.1'!$D$10*E24/100</f>
        <v>0</v>
      </c>
      <c r="F26" s="38">
        <f>'Mod 1'!$Q$10*E26/100</f>
        <v>0</v>
      </c>
      <c r="G26" s="44"/>
      <c r="H26" s="82">
        <f>'SMod 4.1'!$G$15*H24/100</f>
        <v>0</v>
      </c>
      <c r="I26" s="24">
        <f>'Mod 1'!$Q$10*H26/100</f>
        <v>0</v>
      </c>
    </row>
    <row r="27" spans="2:11" ht="12.75" customHeight="1">
      <c r="B27" s="75" t="s">
        <v>13</v>
      </c>
      <c r="C27" s="443" t="s">
        <v>78</v>
      </c>
      <c r="D27" s="451"/>
      <c r="E27" s="82">
        <f>E28+E29</f>
        <v>0</v>
      </c>
      <c r="F27" s="38">
        <f>'Mod 1'!$Q$10*E27/100</f>
        <v>0</v>
      </c>
      <c r="G27" s="44"/>
      <c r="H27" s="82">
        <f>E27</f>
        <v>0</v>
      </c>
      <c r="I27" s="24">
        <f>'Mod 1'!$Q$10*H27/100</f>
        <v>0</v>
      </c>
      <c r="J27" s="89"/>
      <c r="K27" s="90"/>
    </row>
    <row r="28" spans="2:11" ht="12.75" customHeight="1">
      <c r="B28" s="115"/>
      <c r="C28" s="449" t="s">
        <v>79</v>
      </c>
      <c r="D28" s="450"/>
      <c r="E28" s="136">
        <f>0.4*'SMod 4.1'!$D$10*D25/100</f>
        <v>0</v>
      </c>
      <c r="F28" s="90"/>
      <c r="G28" s="44"/>
      <c r="H28" s="89"/>
      <c r="I28" s="116"/>
      <c r="J28" s="89"/>
      <c r="K28" s="90"/>
    </row>
    <row r="29" spans="2:11" ht="12.75" customHeight="1">
      <c r="B29" s="115"/>
      <c r="C29" s="447" t="s">
        <v>80</v>
      </c>
      <c r="D29" s="448"/>
      <c r="E29" s="137">
        <f>0.1*'SMod 4.1'!$D$10*D25/100</f>
        <v>0</v>
      </c>
      <c r="F29" s="90"/>
      <c r="G29" s="44"/>
      <c r="H29" s="89"/>
      <c r="I29" s="116"/>
      <c r="J29" s="89"/>
      <c r="K29" s="90"/>
    </row>
    <row r="30" spans="2:11" ht="12.75" customHeight="1">
      <c r="B30" s="75" t="s">
        <v>31</v>
      </c>
      <c r="C30" s="443" t="s">
        <v>81</v>
      </c>
      <c r="D30" s="444"/>
      <c r="E30" s="120">
        <f>7/30/12*D31</f>
        <v>1.9444444444444444</v>
      </c>
      <c r="F30" s="38">
        <f>'Mod 1'!$Q$10*E30/100</f>
        <v>0</v>
      </c>
      <c r="G30" s="44"/>
      <c r="H30" s="82">
        <f>E30</f>
        <v>1.9444444444444444</v>
      </c>
      <c r="I30" s="24">
        <f>'Mod 1'!$Q$10*H30/100</f>
        <v>0</v>
      </c>
      <c r="J30" s="89"/>
      <c r="K30" s="90"/>
    </row>
    <row r="31" spans="2:11" ht="12.75" customHeight="1">
      <c r="B31" s="115"/>
      <c r="C31" s="113" t="s">
        <v>82</v>
      </c>
      <c r="D31" s="300">
        <f>100-D25</f>
        <v>100</v>
      </c>
      <c r="E31" s="119"/>
      <c r="F31" s="90"/>
      <c r="G31" s="44"/>
      <c r="H31" s="89"/>
      <c r="I31" s="116"/>
      <c r="J31" s="89"/>
      <c r="K31" s="90"/>
    </row>
    <row r="32" spans="2:11" ht="12.75" customHeight="1">
      <c r="B32" s="75" t="s">
        <v>33</v>
      </c>
      <c r="C32" s="443" t="s">
        <v>84</v>
      </c>
      <c r="D32" s="444"/>
      <c r="E32" s="120">
        <f>'SMod 4.1'!$D$15*E30/100</f>
        <v>0.7155555555555556</v>
      </c>
      <c r="F32" s="38">
        <f>'Mod 1'!$Q$10*E32/100</f>
        <v>0</v>
      </c>
      <c r="G32" s="44"/>
      <c r="H32" s="82">
        <f>'SMod 4.1'!$G$15*H30/100</f>
        <v>0.6027777777777777</v>
      </c>
      <c r="I32" s="24">
        <f>'Mod 1'!$Q$10*H32/100</f>
        <v>0</v>
      </c>
      <c r="J32" s="89"/>
      <c r="K32" s="90"/>
    </row>
    <row r="33" spans="2:9" ht="12.75" customHeight="1">
      <c r="B33" s="75" t="s">
        <v>36</v>
      </c>
      <c r="C33" s="443" t="s">
        <v>83</v>
      </c>
      <c r="D33" s="451"/>
      <c r="E33" s="82">
        <f>E34+E35</f>
        <v>4</v>
      </c>
      <c r="F33" s="38">
        <f>'Mod 1'!$Q$10*E33/100</f>
        <v>0</v>
      </c>
      <c r="G33" s="44"/>
      <c r="H33" s="82">
        <f>E33</f>
        <v>4</v>
      </c>
      <c r="I33" s="24">
        <f>'Mod 1'!$Q$10*H33/100</f>
        <v>0</v>
      </c>
    </row>
    <row r="34" spans="2:9" ht="12.75" customHeight="1">
      <c r="B34" s="115"/>
      <c r="C34" s="449" t="s">
        <v>79</v>
      </c>
      <c r="D34" s="450"/>
      <c r="E34" s="136">
        <f>0.4*'SMod 4.1'!$D$10*$D$31/100</f>
        <v>3.2</v>
      </c>
      <c r="F34" s="90"/>
      <c r="G34" s="44"/>
      <c r="H34" s="89"/>
      <c r="I34" s="116"/>
    </row>
    <row r="35" spans="2:9" ht="12.75" customHeight="1">
      <c r="B35" s="115"/>
      <c r="C35" s="447" t="s">
        <v>80</v>
      </c>
      <c r="D35" s="448"/>
      <c r="E35" s="137">
        <f>0.1*'SMod 4.1'!$D$10*$D$31/100</f>
        <v>0.8</v>
      </c>
      <c r="F35" s="90"/>
      <c r="G35" s="44"/>
      <c r="H35" s="89"/>
      <c r="I35" s="116"/>
    </row>
    <row r="36" spans="2:9" ht="12" customHeight="1" thickBot="1">
      <c r="B36" s="64"/>
      <c r="C36" s="65"/>
      <c r="D36" s="65"/>
      <c r="E36" s="65"/>
      <c r="F36" s="66"/>
      <c r="G36" s="44"/>
      <c r="H36" s="91"/>
      <c r="I36" s="73"/>
    </row>
    <row r="37" spans="2:9" ht="12.75" customHeight="1" thickBot="1">
      <c r="B37" s="398" t="s">
        <v>62</v>
      </c>
      <c r="C37" s="399"/>
      <c r="D37" s="400"/>
      <c r="E37" s="135">
        <f>E33+E32+E30+E27+E26+E24</f>
        <v>6.66</v>
      </c>
      <c r="F37" s="67">
        <f>SUM(F24:F36)</f>
        <v>0</v>
      </c>
      <c r="G37" s="55"/>
      <c r="H37" s="138">
        <f>H33+H32+H30+H27+H26+H24</f>
        <v>6.5472222222222225</v>
      </c>
      <c r="I37" s="67">
        <f>SUM(I24:I36)</f>
        <v>0</v>
      </c>
    </row>
    <row r="38" ht="12.75">
      <c r="C38" s="284"/>
    </row>
  </sheetData>
  <sheetProtection password="D667" sheet="1" objects="1" scenarios="1"/>
  <mergeCells count="31">
    <mergeCell ref="B18:D18"/>
    <mergeCell ref="B21:I21"/>
    <mergeCell ref="C13:D13"/>
    <mergeCell ref="C16:D16"/>
    <mergeCell ref="C15:D15"/>
    <mergeCell ref="C14:D14"/>
    <mergeCell ref="B1:I1"/>
    <mergeCell ref="B4:C4"/>
    <mergeCell ref="H3:I3"/>
    <mergeCell ref="C5:D5"/>
    <mergeCell ref="B2:I2"/>
    <mergeCell ref="B3:F3"/>
    <mergeCell ref="C7:D7"/>
    <mergeCell ref="B37:D37"/>
    <mergeCell ref="C32:D32"/>
    <mergeCell ref="C33:D33"/>
    <mergeCell ref="C34:D34"/>
    <mergeCell ref="C35:D35"/>
    <mergeCell ref="C11:D11"/>
    <mergeCell ref="C8:D8"/>
    <mergeCell ref="C10:D10"/>
    <mergeCell ref="C9:D9"/>
    <mergeCell ref="H22:I22"/>
    <mergeCell ref="B22:F22"/>
    <mergeCell ref="C29:D29"/>
    <mergeCell ref="C30:D30"/>
    <mergeCell ref="C28:D28"/>
    <mergeCell ref="C26:D26"/>
    <mergeCell ref="C24:D24"/>
    <mergeCell ref="B23:C23"/>
    <mergeCell ref="C27:D27"/>
  </mergeCells>
  <printOptions/>
  <pageMargins left="0.75" right="0.75" top="1" bottom="1" header="0.492125985" footer="0.492125985"/>
  <pageSetup fitToHeight="1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Márcio A Amite</dc:creator>
  <cp:keywords/>
  <dc:description/>
  <cp:lastModifiedBy>sg406</cp:lastModifiedBy>
  <cp:lastPrinted>2016-08-03T15:27:43Z</cp:lastPrinted>
  <dcterms:created xsi:type="dcterms:W3CDTF">2011-04-19T18:03:00Z</dcterms:created>
  <dcterms:modified xsi:type="dcterms:W3CDTF">2016-10-11T14:51:21Z</dcterms:modified>
  <cp:category/>
  <cp:version/>
  <cp:contentType/>
  <cp:contentStatus/>
</cp:coreProperties>
</file>